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19"/>
  <workbookPr/>
  <mc:AlternateContent xmlns:mc="http://schemas.openxmlformats.org/markup-compatibility/2006">
    <mc:Choice Requires="x15">
      <x15ac:absPath xmlns:x15ac="http://schemas.microsoft.com/office/spreadsheetml/2010/11/ac" url="https://inssgov.sharepoint.com/sites/CEAD-ENGManuteno/Shared Documents/Planejamento manutenção predial 2024-2025/POLOS I-II-IX-X/Planilhas/"/>
    </mc:Choice>
  </mc:AlternateContent>
  <xr:revisionPtr revIDLastSave="61" documentId="13_ncr:1_{9ED82BF9-0B3F-4F21-A3AA-BEE21F92C828}" xr6:coauthVersionLast="47" xr6:coauthVersionMax="47" xr10:uidLastSave="{82AE1E55-BE91-4888-8685-F9FF9AA70017}"/>
  <bookViews>
    <workbookView xWindow="-28920" yWindow="-120" windowWidth="29040" windowHeight="15720" tabRatio="940" xr2:uid="{00000000-000D-0000-FFFF-FFFF00000000}"/>
  </bookViews>
  <sheets>
    <sheet name="Valor da Contratação" sheetId="1" r:id="rId1"/>
    <sheet name="Resumo" sheetId="2" r:id="rId2"/>
    <sheet name="Equipe Técnica" sheetId="3" r:id="rId3"/>
    <sheet name="Base Londrina" sheetId="4" r:id="rId4"/>
    <sheet name="Desl. Base Londrina" sheetId="5" r:id="rId5"/>
    <sheet name="Base Guarapuava" sheetId="13" r:id="rId6"/>
    <sheet name="Desl. Base Guarapuava" sheetId="14" r:id="rId7"/>
    <sheet name="Comp. Veículo" sheetId="6" r:id="rId8"/>
    <sheet name="Custo Eng. Eletricista" sheetId="7" r:id="rId9"/>
    <sheet name="Comp. Eng. Eletricista" sheetId="8" r:id="rId10"/>
    <sheet name="Custo Oficial de Manutenção" sheetId="9" r:id="rId11"/>
    <sheet name="Comp. Oficial de Manutenção" sheetId="10" r:id="rId12"/>
    <sheet name="Unidades" sheetId="11" r:id="rId13"/>
    <sheet name="BDI" sheetId="12" r:id="rId14"/>
  </sheets>
  <definedNames>
    <definedName name="___xlnm__FilterDatabase_6">#REF!</definedName>
    <definedName name="_FilterDatabase_3">#REF!</definedName>
    <definedName name="_xlnm.Print_Area" localSheetId="5">'Base Guarapuava'!$B$2:$AW$21</definedName>
    <definedName name="_xlnm.Print_Area" localSheetId="3">'Base Londrina'!$B$2:$AW$26</definedName>
    <definedName name="_xlnm.Print_Area" localSheetId="13">BDI!$B$1:$J$44</definedName>
    <definedName name="_xlnm.Print_Area" localSheetId="6">'Desl. Base Guarapuava'!$B$2:$M$30</definedName>
    <definedName name="_xlnm.Print_Area" localSheetId="4">'Desl. Base Londrina'!$B$2:$M$35</definedName>
    <definedName name="_xlnm.Print_Area" localSheetId="2">'Equipe Técnica'!$B$2:$E$13</definedName>
    <definedName name="_xlnm.Print_Area" localSheetId="12">Unidades!$B$2:$H$18</definedName>
    <definedName name="Excel_BuiltIn__FilterDatabase_9_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8" l="1"/>
  <c r="E20" i="13"/>
  <c r="D20" i="13"/>
  <c r="P14" i="14"/>
  <c r="M14" i="14"/>
  <c r="P13" i="14"/>
  <c r="P12" i="14"/>
  <c r="M12" i="14"/>
  <c r="Q14" i="14" l="1"/>
  <c r="Q13" i="14"/>
  <c r="Q12" i="14"/>
  <c r="K14" i="14"/>
  <c r="L14" i="14" s="1"/>
  <c r="O14" i="14" s="1"/>
  <c r="G14" i="14"/>
  <c r="K12" i="14"/>
  <c r="L12" i="14" s="1"/>
  <c r="O12" i="14" s="1"/>
  <c r="O13" i="14" s="1"/>
  <c r="G12" i="14"/>
  <c r="I10" i="14"/>
  <c r="K10" i="14" s="1"/>
  <c r="L10" i="14" s="1"/>
  <c r="O10" i="14" s="1"/>
  <c r="O11" i="14" s="1"/>
  <c r="E10" i="14"/>
  <c r="G10" i="14" s="1"/>
  <c r="K8" i="14"/>
  <c r="L8" i="14" s="1"/>
  <c r="O8" i="14" s="1"/>
  <c r="O9" i="14" s="1"/>
  <c r="G8" i="14"/>
  <c r="I6" i="14"/>
  <c r="K6" i="14" s="1"/>
  <c r="L6" i="14" s="1"/>
  <c r="O6" i="14" s="1"/>
  <c r="O7" i="14" s="1"/>
  <c r="E6" i="14"/>
  <c r="G6" i="14" s="1"/>
  <c r="K5" i="14"/>
  <c r="L5" i="14" s="1"/>
  <c r="O5" i="14" s="1"/>
  <c r="G5" i="5"/>
  <c r="K19" i="5"/>
  <c r="L19" i="5" s="1"/>
  <c r="O19" i="5" s="1"/>
  <c r="V21" i="4" s="1"/>
  <c r="G19" i="5"/>
  <c r="I17" i="5"/>
  <c r="K17" i="5" s="1"/>
  <c r="L17" i="5" s="1"/>
  <c r="O17" i="5" s="1"/>
  <c r="O18" i="5" s="1"/>
  <c r="V19" i="4" s="1"/>
  <c r="G17" i="5"/>
  <c r="K15" i="5"/>
  <c r="L15" i="5" s="1"/>
  <c r="O15" i="5" s="1"/>
  <c r="O16" i="5" s="1"/>
  <c r="G15" i="5"/>
  <c r="L13" i="5"/>
  <c r="O13" i="5" s="1"/>
  <c r="O14" i="5" s="1"/>
  <c r="K13" i="5"/>
  <c r="G13" i="5"/>
  <c r="K11" i="5"/>
  <c r="L11" i="5" s="1"/>
  <c r="O11" i="5" s="1"/>
  <c r="O12" i="5" s="1"/>
  <c r="I11" i="5"/>
  <c r="G11" i="5"/>
  <c r="E11" i="5"/>
  <c r="L9" i="5"/>
  <c r="O9" i="5" s="1"/>
  <c r="O10" i="5" s="1"/>
  <c r="K9" i="5"/>
  <c r="G9" i="5"/>
  <c r="K7" i="5"/>
  <c r="L7" i="5" s="1"/>
  <c r="O7" i="5" s="1"/>
  <c r="O8" i="5" s="1"/>
  <c r="E7" i="5"/>
  <c r="G7" i="5" s="1"/>
  <c r="L6" i="5"/>
  <c r="O6" i="5" s="1"/>
  <c r="K6" i="5"/>
  <c r="G6" i="5"/>
  <c r="K5" i="5"/>
  <c r="L5" i="5" s="1"/>
  <c r="O5" i="5" s="1"/>
  <c r="AI19" i="4"/>
  <c r="AJ19" i="4" s="1"/>
  <c r="AI20" i="4"/>
  <c r="AJ20" i="4"/>
  <c r="AI21" i="4"/>
  <c r="AJ21" i="4" s="1"/>
  <c r="Q19" i="4"/>
  <c r="W19" i="4" s="1"/>
  <c r="X19" i="4"/>
  <c r="Q20" i="4"/>
  <c r="X20" i="4" s="1"/>
  <c r="Q21" i="4"/>
  <c r="W21" i="4" s="1"/>
  <c r="X21" i="4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C19" i="4"/>
  <c r="D19" i="4"/>
  <c r="E19" i="4"/>
  <c r="F19" i="4"/>
  <c r="J19" i="4"/>
  <c r="K19" i="4"/>
  <c r="C20" i="4"/>
  <c r="D20" i="4"/>
  <c r="E20" i="4"/>
  <c r="F20" i="4"/>
  <c r="J20" i="4"/>
  <c r="K20" i="4"/>
  <c r="C21" i="4"/>
  <c r="D21" i="4"/>
  <c r="E21" i="4"/>
  <c r="F21" i="4"/>
  <c r="J21" i="4"/>
  <c r="K21" i="4"/>
  <c r="R19" i="5" s="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G20" i="4" l="1"/>
  <c r="H20" i="4" s="1"/>
  <c r="R20" i="4" s="1"/>
  <c r="G21" i="4"/>
  <c r="H21" i="4" s="1"/>
  <c r="R21" i="4" s="1"/>
  <c r="R18" i="5"/>
  <c r="G19" i="4"/>
  <c r="H19" i="4" s="1"/>
  <c r="R19" i="4" s="1"/>
  <c r="W20" i="4"/>
  <c r="V20" i="4"/>
  <c r="B28" i="2"/>
  <c r="L19" i="4" l="1"/>
  <c r="T19" i="4" s="1"/>
  <c r="M21" i="4"/>
  <c r="U21" i="4" s="1"/>
  <c r="L21" i="4"/>
  <c r="T21" i="4" s="1"/>
  <c r="M20" i="4"/>
  <c r="U20" i="4" s="1"/>
  <c r="M19" i="4"/>
  <c r="U19" i="4" s="1"/>
  <c r="I19" i="4"/>
  <c r="N19" i="4" s="1"/>
  <c r="O19" i="4" s="1"/>
  <c r="I21" i="4"/>
  <c r="S21" i="4" s="1"/>
  <c r="I20" i="4"/>
  <c r="S20" i="4" s="1"/>
  <c r="L20" i="4"/>
  <c r="J8" i="13"/>
  <c r="J9" i="13"/>
  <c r="J10" i="13"/>
  <c r="J11" i="13"/>
  <c r="J12" i="13"/>
  <c r="J13" i="13"/>
  <c r="J14" i="13"/>
  <c r="J15" i="13"/>
  <c r="J16" i="13"/>
  <c r="K8" i="13"/>
  <c r="R5" i="14" s="1"/>
  <c r="K9" i="13"/>
  <c r="R6" i="14" s="1"/>
  <c r="K10" i="13"/>
  <c r="R7" i="14" s="1"/>
  <c r="K11" i="13"/>
  <c r="R8" i="14" s="1"/>
  <c r="K12" i="13"/>
  <c r="K13" i="13"/>
  <c r="K14" i="13"/>
  <c r="K15" i="13"/>
  <c r="K16" i="13"/>
  <c r="C4" i="14"/>
  <c r="B2" i="14"/>
  <c r="J8" i="4"/>
  <c r="J9" i="4"/>
  <c r="J10" i="4"/>
  <c r="J11" i="4"/>
  <c r="J12" i="4"/>
  <c r="J13" i="4"/>
  <c r="J14" i="4"/>
  <c r="J15" i="4"/>
  <c r="J16" i="4"/>
  <c r="J17" i="4"/>
  <c r="J18" i="4"/>
  <c r="K8" i="4"/>
  <c r="R15" i="5" s="1"/>
  <c r="K9" i="4"/>
  <c r="R11" i="5" s="1"/>
  <c r="K10" i="4"/>
  <c r="R12" i="5" s="1"/>
  <c r="K11" i="4"/>
  <c r="R14" i="5" s="1"/>
  <c r="K12" i="4"/>
  <c r="R16" i="5" s="1"/>
  <c r="K13" i="4"/>
  <c r="R9" i="5" s="1"/>
  <c r="K14" i="4"/>
  <c r="R13" i="5" s="1"/>
  <c r="K15" i="4"/>
  <c r="R17" i="5" s="1"/>
  <c r="K16" i="4"/>
  <c r="R7" i="5" s="1"/>
  <c r="K17" i="4"/>
  <c r="R8" i="5" s="1"/>
  <c r="K18" i="4"/>
  <c r="R10" i="5" s="1"/>
  <c r="B40" i="2"/>
  <c r="B31" i="2"/>
  <c r="B32" i="2"/>
  <c r="B33" i="2"/>
  <c r="B34" i="2"/>
  <c r="B35" i="2"/>
  <c r="B36" i="2"/>
  <c r="B37" i="2"/>
  <c r="B38" i="2"/>
  <c r="B39" i="2"/>
  <c r="B30" i="2"/>
  <c r="AS4" i="13"/>
  <c r="AI2" i="13"/>
  <c r="Q2" i="13"/>
  <c r="B2" i="13"/>
  <c r="C29" i="14"/>
  <c r="N15" i="14"/>
  <c r="M15" i="14"/>
  <c r="B21" i="13"/>
  <c r="AI16" i="13"/>
  <c r="Q16" i="13"/>
  <c r="W16" i="13" s="1"/>
  <c r="F16" i="13"/>
  <c r="E16" i="13"/>
  <c r="D16" i="13"/>
  <c r="C16" i="13"/>
  <c r="AI15" i="13"/>
  <c r="Q15" i="13"/>
  <c r="W15" i="13" s="1"/>
  <c r="F15" i="13"/>
  <c r="E15" i="13"/>
  <c r="D15" i="13"/>
  <c r="C15" i="13"/>
  <c r="AI14" i="13"/>
  <c r="Q14" i="13"/>
  <c r="W14" i="13" s="1"/>
  <c r="F14" i="13"/>
  <c r="E14" i="13"/>
  <c r="D14" i="13"/>
  <c r="C14" i="13"/>
  <c r="AI13" i="13"/>
  <c r="Q13" i="13"/>
  <c r="W13" i="13" s="1"/>
  <c r="F13" i="13"/>
  <c r="E13" i="13"/>
  <c r="D13" i="13"/>
  <c r="C13" i="13"/>
  <c r="AI12" i="13"/>
  <c r="Q12" i="13"/>
  <c r="W12" i="13" s="1"/>
  <c r="F12" i="13"/>
  <c r="E12" i="13"/>
  <c r="D12" i="13"/>
  <c r="C12" i="13"/>
  <c r="AI11" i="13"/>
  <c r="Q11" i="13"/>
  <c r="W11" i="13" s="1"/>
  <c r="F11" i="13"/>
  <c r="E11" i="13"/>
  <c r="D11" i="13"/>
  <c r="C11" i="13"/>
  <c r="AI10" i="13"/>
  <c r="Q10" i="13"/>
  <c r="W10" i="13" s="1"/>
  <c r="F10" i="13"/>
  <c r="E10" i="13"/>
  <c r="D10" i="13"/>
  <c r="C10" i="13"/>
  <c r="AI9" i="13"/>
  <c r="Q9" i="13"/>
  <c r="W9" i="13" s="1"/>
  <c r="F9" i="13"/>
  <c r="E9" i="13"/>
  <c r="D9" i="13"/>
  <c r="C9" i="13"/>
  <c r="AI8" i="13"/>
  <c r="Q8" i="13"/>
  <c r="W8" i="13" s="1"/>
  <c r="F8" i="13"/>
  <c r="E8" i="13"/>
  <c r="D8" i="13"/>
  <c r="C8" i="13"/>
  <c r="AI7" i="13"/>
  <c r="Q7" i="13"/>
  <c r="W7" i="13" s="1"/>
  <c r="K7" i="13"/>
  <c r="J7" i="13"/>
  <c r="F7" i="13"/>
  <c r="E7" i="13"/>
  <c r="D7" i="13"/>
  <c r="C7" i="13"/>
  <c r="N20" i="4" l="1"/>
  <c r="O20" i="4" s="1"/>
  <c r="S19" i="4"/>
  <c r="R10" i="14"/>
  <c r="R14" i="14"/>
  <c r="R12" i="14"/>
  <c r="N21" i="4"/>
  <c r="O21" i="4" s="1"/>
  <c r="T20" i="4"/>
  <c r="R9" i="14"/>
  <c r="R13" i="14"/>
  <c r="R11" i="14"/>
  <c r="X7" i="13"/>
  <c r="X16" i="13"/>
  <c r="X15" i="13"/>
  <c r="X14" i="13"/>
  <c r="X13" i="13"/>
  <c r="X12" i="13"/>
  <c r="X11" i="13"/>
  <c r="X10" i="13"/>
  <c r="X9" i="13"/>
  <c r="X8" i="13"/>
  <c r="G12" i="13"/>
  <c r="H12" i="13" s="1"/>
  <c r="I12" i="13" s="1"/>
  <c r="J17" i="13"/>
  <c r="G16" i="13"/>
  <c r="H16" i="13" s="1"/>
  <c r="L16" i="13" s="1"/>
  <c r="G15" i="14"/>
  <c r="G9" i="13"/>
  <c r="H9" i="13" s="1"/>
  <c r="M9" i="13" s="1"/>
  <c r="G8" i="13"/>
  <c r="H8" i="13" s="1"/>
  <c r="L8" i="13" s="1"/>
  <c r="G14" i="13"/>
  <c r="H14" i="13" s="1"/>
  <c r="I14" i="13" s="1"/>
  <c r="F17" i="13"/>
  <c r="G11" i="13"/>
  <c r="H11" i="13" s="1"/>
  <c r="L11" i="13" s="1"/>
  <c r="E17" i="13"/>
  <c r="G10" i="13"/>
  <c r="H10" i="13" s="1"/>
  <c r="M10" i="13" s="1"/>
  <c r="G15" i="13"/>
  <c r="H15" i="13" s="1"/>
  <c r="I15" i="13" s="1"/>
  <c r="G13" i="13"/>
  <c r="H13" i="13" s="1"/>
  <c r="L13" i="13" s="1"/>
  <c r="D17" i="13"/>
  <c r="C17" i="13"/>
  <c r="C6" i="2" s="1"/>
  <c r="Q15" i="14"/>
  <c r="P15" i="14"/>
  <c r="W17" i="13"/>
  <c r="K17" i="13"/>
  <c r="G7" i="13"/>
  <c r="AJ16" i="13"/>
  <c r="AJ15" i="13"/>
  <c r="AJ14" i="13"/>
  <c r="AJ13" i="13"/>
  <c r="AJ12" i="13"/>
  <c r="AJ11" i="13"/>
  <c r="AJ10" i="13"/>
  <c r="AJ9" i="13"/>
  <c r="AJ8" i="13"/>
  <c r="AJ7" i="13"/>
  <c r="K15" i="14" l="1"/>
  <c r="X17" i="13"/>
  <c r="I16" i="13"/>
  <c r="L12" i="13"/>
  <c r="M16" i="13"/>
  <c r="M12" i="13"/>
  <c r="L14" i="13"/>
  <c r="M13" i="13"/>
  <c r="I9" i="13"/>
  <c r="L9" i="13"/>
  <c r="M11" i="13"/>
  <c r="M8" i="13"/>
  <c r="I11" i="13"/>
  <c r="M14" i="13"/>
  <c r="I13" i="13"/>
  <c r="I8" i="13"/>
  <c r="L15" i="13"/>
  <c r="M15" i="13"/>
  <c r="I10" i="13"/>
  <c r="L10" i="13"/>
  <c r="O15" i="14"/>
  <c r="L15" i="14"/>
  <c r="H7" i="13"/>
  <c r="G17" i="13"/>
  <c r="N12" i="13" l="1"/>
  <c r="N16" i="13"/>
  <c r="N8" i="13"/>
  <c r="N13" i="13"/>
  <c r="N9" i="13"/>
  <c r="N14" i="13"/>
  <c r="N11" i="13"/>
  <c r="N15" i="13"/>
  <c r="N10" i="13"/>
  <c r="M7" i="13"/>
  <c r="H17" i="13"/>
  <c r="L7" i="13"/>
  <c r="I7" i="13"/>
  <c r="O20" i="5" l="1"/>
  <c r="P20" i="5"/>
  <c r="I17" i="13"/>
  <c r="L17" i="13"/>
  <c r="M17" i="13"/>
  <c r="N7" i="13"/>
  <c r="D42" i="12"/>
  <c r="J30" i="12"/>
  <c r="E30" i="12"/>
  <c r="D30" i="12"/>
  <c r="J29" i="12"/>
  <c r="I29" i="12"/>
  <c r="I30" i="12" s="1"/>
  <c r="E29" i="12"/>
  <c r="D29" i="12"/>
  <c r="J28" i="12"/>
  <c r="I28" i="12"/>
  <c r="H28" i="12"/>
  <c r="H29" i="12" s="1"/>
  <c r="H30" i="12" s="1"/>
  <c r="G28" i="12"/>
  <c r="G29" i="12" s="1"/>
  <c r="G30" i="12" s="1"/>
  <c r="F28" i="12"/>
  <c r="F29" i="12" s="1"/>
  <c r="F30" i="12" s="1"/>
  <c r="E28" i="12"/>
  <c r="B3" i="12"/>
  <c r="B2" i="11"/>
  <c r="I22" i="10"/>
  <c r="I21" i="10"/>
  <c r="I20" i="10"/>
  <c r="I19" i="10"/>
  <c r="I18" i="10"/>
  <c r="I17" i="10"/>
  <c r="I16" i="10"/>
  <c r="I14" i="10"/>
  <c r="C17" i="9"/>
  <c r="C19" i="9" s="1"/>
  <c r="C16" i="9"/>
  <c r="C18" i="9" s="1"/>
  <c r="G15" i="10" s="1"/>
  <c r="I15" i="10" s="1"/>
  <c r="I20" i="8"/>
  <c r="I19" i="8"/>
  <c r="I18" i="8"/>
  <c r="I17" i="8"/>
  <c r="I15" i="8"/>
  <c r="C14" i="7"/>
  <c r="C13" i="7"/>
  <c r="G16" i="8" s="1"/>
  <c r="I16" i="8" s="1"/>
  <c r="G32" i="6"/>
  <c r="I32" i="6" s="1"/>
  <c r="G31" i="6"/>
  <c r="I31" i="6" s="1"/>
  <c r="G30" i="6"/>
  <c r="I30" i="6" s="1"/>
  <c r="D24" i="6"/>
  <c r="D23" i="6"/>
  <c r="I18" i="6"/>
  <c r="I17" i="6"/>
  <c r="I16" i="6"/>
  <c r="I15" i="6"/>
  <c r="I14" i="6"/>
  <c r="C34" i="5"/>
  <c r="N20" i="5"/>
  <c r="M20" i="5"/>
  <c r="Q20" i="5"/>
  <c r="C4" i="5"/>
  <c r="B2" i="5"/>
  <c r="B26" i="4"/>
  <c r="R5" i="5"/>
  <c r="AI18" i="4"/>
  <c r="Q18" i="4"/>
  <c r="F18" i="4"/>
  <c r="E18" i="4"/>
  <c r="D18" i="4"/>
  <c r="C18" i="4"/>
  <c r="AI17" i="4"/>
  <c r="AJ17" i="4" s="1"/>
  <c r="Q17" i="4"/>
  <c r="X17" i="4" s="1"/>
  <c r="F17" i="4"/>
  <c r="E17" i="4"/>
  <c r="D17" i="4"/>
  <c r="C17" i="4"/>
  <c r="AI16" i="4"/>
  <c r="Q16" i="4"/>
  <c r="X16" i="4" s="1"/>
  <c r="F16" i="4"/>
  <c r="E16" i="4"/>
  <c r="D16" i="4"/>
  <c r="C16" i="4"/>
  <c r="AI15" i="4"/>
  <c r="Q15" i="4"/>
  <c r="X15" i="4" s="1"/>
  <c r="F15" i="4"/>
  <c r="E15" i="4"/>
  <c r="D15" i="4"/>
  <c r="C15" i="4"/>
  <c r="AI14" i="4"/>
  <c r="Q14" i="4"/>
  <c r="F14" i="4"/>
  <c r="E14" i="4"/>
  <c r="D14" i="4"/>
  <c r="C14" i="4"/>
  <c r="AI13" i="4"/>
  <c r="Q13" i="4"/>
  <c r="X13" i="4" s="1"/>
  <c r="F13" i="4"/>
  <c r="E13" i="4"/>
  <c r="D13" i="4"/>
  <c r="C13" i="4"/>
  <c r="AI12" i="4"/>
  <c r="Q12" i="4"/>
  <c r="F12" i="4"/>
  <c r="E12" i="4"/>
  <c r="D12" i="4"/>
  <c r="C12" i="4"/>
  <c r="AI11" i="4"/>
  <c r="Q11" i="4"/>
  <c r="X11" i="4" s="1"/>
  <c r="F11" i="4"/>
  <c r="E11" i="4"/>
  <c r="D11" i="4"/>
  <c r="C11" i="4"/>
  <c r="AI10" i="4"/>
  <c r="Q10" i="4"/>
  <c r="X10" i="4" s="1"/>
  <c r="F10" i="4"/>
  <c r="E10" i="4"/>
  <c r="D10" i="4"/>
  <c r="C10" i="4"/>
  <c r="AI9" i="4"/>
  <c r="Q9" i="4"/>
  <c r="X9" i="4" s="1"/>
  <c r="F9" i="4"/>
  <c r="E9" i="4"/>
  <c r="D9" i="4"/>
  <c r="C9" i="4"/>
  <c r="AI8" i="4"/>
  <c r="Q8" i="4"/>
  <c r="X8" i="4" s="1"/>
  <c r="F8" i="4"/>
  <c r="E8" i="4"/>
  <c r="D8" i="4"/>
  <c r="C8" i="4"/>
  <c r="AI7" i="4"/>
  <c r="Q7" i="4"/>
  <c r="X7" i="4" s="1"/>
  <c r="K7" i="4"/>
  <c r="R6" i="5" s="1"/>
  <c r="J7" i="4"/>
  <c r="F7" i="4"/>
  <c r="E7" i="4"/>
  <c r="D7" i="4"/>
  <c r="C7" i="4"/>
  <c r="AS4" i="4"/>
  <c r="AI2" i="4"/>
  <c r="Q2" i="4"/>
  <c r="B2" i="4"/>
  <c r="E8" i="3"/>
  <c r="C8" i="3"/>
  <c r="E7" i="3"/>
  <c r="C7" i="3"/>
  <c r="B2" i="3"/>
  <c r="B26" i="2"/>
  <c r="B11" i="2"/>
  <c r="B9" i="2"/>
  <c r="B7" i="2"/>
  <c r="B2" i="2"/>
  <c r="N17" i="13" l="1"/>
  <c r="W14" i="4"/>
  <c r="X14" i="4"/>
  <c r="W12" i="4"/>
  <c r="X12" i="4"/>
  <c r="W15" i="4"/>
  <c r="W18" i="4"/>
  <c r="X18" i="4"/>
  <c r="D27" i="6"/>
  <c r="D11" i="6"/>
  <c r="D11" i="8"/>
  <c r="D5" i="3" s="1"/>
  <c r="D8" i="3" s="1"/>
  <c r="C13" i="3" s="1"/>
  <c r="W11" i="4"/>
  <c r="G10" i="4"/>
  <c r="H10" i="4" s="1"/>
  <c r="L10" i="4" s="1"/>
  <c r="G14" i="4"/>
  <c r="H14" i="4" s="1"/>
  <c r="L14" i="4" s="1"/>
  <c r="G12" i="4"/>
  <c r="H12" i="4" s="1"/>
  <c r="M12" i="4" s="1"/>
  <c r="G16" i="4"/>
  <c r="H16" i="4" s="1"/>
  <c r="I16" i="4" s="1"/>
  <c r="G8" i="4"/>
  <c r="H8" i="4" s="1"/>
  <c r="I8" i="4" s="1"/>
  <c r="G11" i="4"/>
  <c r="H11" i="4" s="1"/>
  <c r="L11" i="4" s="1"/>
  <c r="G15" i="4"/>
  <c r="H15" i="4" s="1"/>
  <c r="M15" i="4" s="1"/>
  <c r="G9" i="4"/>
  <c r="H9" i="4" s="1"/>
  <c r="L9" i="4" s="1"/>
  <c r="G13" i="4"/>
  <c r="H13" i="4" s="1"/>
  <c r="L13" i="4" s="1"/>
  <c r="G17" i="4"/>
  <c r="H17" i="4" s="1"/>
  <c r="L17" i="4" s="1"/>
  <c r="F22" i="4"/>
  <c r="AJ16" i="4"/>
  <c r="W17" i="4"/>
  <c r="AJ9" i="4"/>
  <c r="AJ18" i="4"/>
  <c r="AJ13" i="4"/>
  <c r="AJ12" i="4"/>
  <c r="D22" i="4"/>
  <c r="G7" i="4"/>
  <c r="E22" i="4"/>
  <c r="AJ11" i="4"/>
  <c r="AJ10" i="4"/>
  <c r="AJ7" i="4"/>
  <c r="W8" i="4"/>
  <c r="K22" i="4"/>
  <c r="AJ15" i="4"/>
  <c r="W16" i="4"/>
  <c r="W7" i="4"/>
  <c r="J22" i="4"/>
  <c r="J42" i="12"/>
  <c r="J43" i="12" s="1"/>
  <c r="J44" i="12" s="1"/>
  <c r="H42" i="12"/>
  <c r="H43" i="12" s="1"/>
  <c r="H44" i="12" s="1"/>
  <c r="G42" i="12"/>
  <c r="G43" i="12" s="1"/>
  <c r="G44" i="12" s="1"/>
  <c r="F42" i="12"/>
  <c r="F43" i="12" s="1"/>
  <c r="F44" i="12" s="1"/>
  <c r="E42" i="12"/>
  <c r="E43" i="12" s="1"/>
  <c r="E44" i="12" s="1"/>
  <c r="L20" i="5"/>
  <c r="I42" i="12"/>
  <c r="I43" i="12" s="1"/>
  <c r="I44" i="12" s="1"/>
  <c r="D43" i="12"/>
  <c r="D44" i="12" s="1"/>
  <c r="AJ14" i="4"/>
  <c r="G20" i="5"/>
  <c r="AJ8" i="4"/>
  <c r="D11" i="10"/>
  <c r="W13" i="4"/>
  <c r="W10" i="4"/>
  <c r="C22" i="4"/>
  <c r="C5" i="2" s="1"/>
  <c r="C7" i="2" s="1"/>
  <c r="G18" i="4"/>
  <c r="H18" i="4" s="1"/>
  <c r="W9" i="4"/>
  <c r="K20" i="5"/>
  <c r="E25" i="5" l="1"/>
  <c r="E20" i="14"/>
  <c r="C25" i="14" s="1"/>
  <c r="E24" i="5"/>
  <c r="C29" i="5" s="1"/>
  <c r="E19" i="14"/>
  <c r="C25" i="4"/>
  <c r="T14" i="4" s="1"/>
  <c r="C20" i="13"/>
  <c r="L15" i="4"/>
  <c r="M14" i="4"/>
  <c r="I10" i="4"/>
  <c r="M10" i="4"/>
  <c r="M11" i="4"/>
  <c r="I11" i="4"/>
  <c r="I14" i="4"/>
  <c r="I13" i="4"/>
  <c r="D7" i="3"/>
  <c r="C12" i="3" s="1"/>
  <c r="M13" i="4"/>
  <c r="L16" i="4"/>
  <c r="M16" i="4"/>
  <c r="X22" i="4"/>
  <c r="L8" i="4"/>
  <c r="M8" i="4"/>
  <c r="I12" i="4"/>
  <c r="L12" i="4"/>
  <c r="I9" i="4"/>
  <c r="I15" i="4"/>
  <c r="M9" i="4"/>
  <c r="I17" i="4"/>
  <c r="M17" i="4"/>
  <c r="V8" i="4"/>
  <c r="G22" i="4"/>
  <c r="H7" i="4"/>
  <c r="V17" i="4"/>
  <c r="W22" i="4"/>
  <c r="L18" i="4"/>
  <c r="I18" i="4"/>
  <c r="M18" i="4"/>
  <c r="Y20" i="4" l="1"/>
  <c r="Y19" i="4"/>
  <c r="Y21" i="4"/>
  <c r="V15" i="4"/>
  <c r="Y12" i="13"/>
  <c r="Y13" i="13"/>
  <c r="Y14" i="13"/>
  <c r="Y15" i="13"/>
  <c r="Y16" i="13"/>
  <c r="Y7" i="13"/>
  <c r="Y8" i="13"/>
  <c r="Y11" i="13"/>
  <c r="Y10" i="13"/>
  <c r="Y9" i="13"/>
  <c r="C24" i="14"/>
  <c r="U14" i="4"/>
  <c r="R11" i="4"/>
  <c r="T15" i="4"/>
  <c r="V10" i="4"/>
  <c r="V13" i="4"/>
  <c r="T9" i="4"/>
  <c r="R16" i="4"/>
  <c r="S8" i="4"/>
  <c r="U16" i="4"/>
  <c r="T11" i="4"/>
  <c r="U15" i="4"/>
  <c r="U13" i="4"/>
  <c r="R12" i="4"/>
  <c r="V7" i="4"/>
  <c r="U12" i="4"/>
  <c r="V12" i="4"/>
  <c r="R9" i="4"/>
  <c r="R18" i="4"/>
  <c r="T13" i="4"/>
  <c r="V9" i="4"/>
  <c r="S9" i="4"/>
  <c r="R10" i="4"/>
  <c r="V14" i="4"/>
  <c r="V11" i="4"/>
  <c r="S12" i="4"/>
  <c r="U11" i="4"/>
  <c r="V16" i="4"/>
  <c r="R14" i="4"/>
  <c r="V18" i="4"/>
  <c r="R8" i="4"/>
  <c r="R15" i="4"/>
  <c r="T16" i="4"/>
  <c r="S17" i="4"/>
  <c r="S16" i="4"/>
  <c r="T17" i="4"/>
  <c r="R13" i="4"/>
  <c r="U9" i="4"/>
  <c r="S15" i="4"/>
  <c r="S13" i="4"/>
  <c r="T12" i="4"/>
  <c r="S11" i="4"/>
  <c r="U8" i="4"/>
  <c r="U10" i="4"/>
  <c r="R17" i="4"/>
  <c r="T10" i="4"/>
  <c r="T8" i="4"/>
  <c r="S10" i="4"/>
  <c r="V9" i="13"/>
  <c r="V10" i="13"/>
  <c r="V11" i="13"/>
  <c r="V12" i="13"/>
  <c r="V13" i="13"/>
  <c r="V14" i="13"/>
  <c r="V15" i="13"/>
  <c r="V16" i="13"/>
  <c r="V7" i="13"/>
  <c r="V8" i="13"/>
  <c r="R11" i="13"/>
  <c r="R16" i="13"/>
  <c r="R8" i="13"/>
  <c r="R13" i="13"/>
  <c r="R12" i="13"/>
  <c r="R14" i="13"/>
  <c r="T11" i="13"/>
  <c r="R10" i="13"/>
  <c r="S12" i="13"/>
  <c r="S13" i="13"/>
  <c r="T9" i="13"/>
  <c r="T15" i="13"/>
  <c r="T8" i="13"/>
  <c r="U9" i="13"/>
  <c r="T14" i="13"/>
  <c r="U13" i="13"/>
  <c r="S9" i="13"/>
  <c r="T12" i="13"/>
  <c r="U11" i="13"/>
  <c r="U14" i="13"/>
  <c r="R9" i="13"/>
  <c r="S8" i="13"/>
  <c r="U8" i="13"/>
  <c r="S14" i="13"/>
  <c r="U16" i="13"/>
  <c r="S15" i="13"/>
  <c r="U10" i="13"/>
  <c r="T13" i="13"/>
  <c r="R15" i="13"/>
  <c r="S16" i="13"/>
  <c r="S11" i="13"/>
  <c r="U12" i="13"/>
  <c r="T16" i="13"/>
  <c r="U15" i="13"/>
  <c r="O11" i="13"/>
  <c r="T10" i="13"/>
  <c r="S10" i="13"/>
  <c r="O13" i="13"/>
  <c r="O15" i="13"/>
  <c r="O8" i="13"/>
  <c r="O16" i="13"/>
  <c r="O9" i="13"/>
  <c r="O14" i="13"/>
  <c r="O12" i="13"/>
  <c r="R7" i="13"/>
  <c r="O10" i="13"/>
  <c r="S7" i="13"/>
  <c r="T7" i="13"/>
  <c r="U7" i="13"/>
  <c r="O7" i="13"/>
  <c r="N11" i="4"/>
  <c r="N17" i="4"/>
  <c r="N10" i="4"/>
  <c r="N14" i="4"/>
  <c r="Y14" i="4" s="1"/>
  <c r="N13" i="4"/>
  <c r="S14" i="4"/>
  <c r="N8" i="4"/>
  <c r="N16" i="4"/>
  <c r="Y16" i="4" s="1"/>
  <c r="U17" i="4"/>
  <c r="N12" i="4"/>
  <c r="Y12" i="4" s="1"/>
  <c r="N15" i="4"/>
  <c r="N9" i="4"/>
  <c r="Y9" i="4" s="1"/>
  <c r="S18" i="4"/>
  <c r="T18" i="4"/>
  <c r="U18" i="4"/>
  <c r="N18" i="4"/>
  <c r="Y18" i="4" s="1"/>
  <c r="H22" i="4"/>
  <c r="L7" i="4"/>
  <c r="M7" i="4"/>
  <c r="I7" i="4"/>
  <c r="R7" i="4"/>
  <c r="O15" i="4" l="1"/>
  <c r="Y15" i="4"/>
  <c r="O10" i="4"/>
  <c r="Y10" i="4"/>
  <c r="O17" i="4"/>
  <c r="Y17" i="4"/>
  <c r="O11" i="4"/>
  <c r="Y11" i="4"/>
  <c r="O13" i="4"/>
  <c r="Y13" i="4"/>
  <c r="O8" i="4"/>
  <c r="Y8" i="4"/>
  <c r="Y17" i="13"/>
  <c r="V22" i="4"/>
  <c r="O17" i="13"/>
  <c r="U17" i="13"/>
  <c r="V17" i="13"/>
  <c r="T17" i="13"/>
  <c r="S17" i="13"/>
  <c r="R17" i="13"/>
  <c r="O14" i="4"/>
  <c r="O12" i="4"/>
  <c r="O9" i="4"/>
  <c r="O16" i="4"/>
  <c r="I22" i="4"/>
  <c r="S7" i="4"/>
  <c r="U7" i="4"/>
  <c r="M22" i="4"/>
  <c r="N7" i="4"/>
  <c r="Y7" i="4" s="1"/>
  <c r="L22" i="4"/>
  <c r="T7" i="4"/>
  <c r="O18" i="4"/>
  <c r="R22" i="4"/>
  <c r="N22" i="4" l="1"/>
  <c r="O7" i="4"/>
  <c r="O22" i="4" s="1"/>
  <c r="U22" i="4"/>
  <c r="T22" i="4"/>
  <c r="S22" i="4"/>
  <c r="C26" i="14" l="1"/>
  <c r="AC5" i="4"/>
  <c r="AC5" i="13"/>
  <c r="Y22" i="4"/>
  <c r="C30" i="5"/>
  <c r="C31" i="5" s="1"/>
  <c r="AB21" i="4" l="1"/>
  <c r="AF21" i="4" s="1"/>
  <c r="AM21" i="4" s="1"/>
  <c r="Z21" i="4"/>
  <c r="AD21" i="4" s="1"/>
  <c r="AK21" i="4" s="1"/>
  <c r="AA21" i="4"/>
  <c r="AE21" i="4" s="1"/>
  <c r="AL21" i="4" s="1"/>
  <c r="Z20" i="4"/>
  <c r="AD20" i="4" s="1"/>
  <c r="AK20" i="4" s="1"/>
  <c r="AA20" i="4"/>
  <c r="AE20" i="4" s="1"/>
  <c r="AL20" i="4" s="1"/>
  <c r="AC21" i="4"/>
  <c r="AG21" i="4" s="1"/>
  <c r="AN21" i="4" s="1"/>
  <c r="AB20" i="4"/>
  <c r="AF20" i="4" s="1"/>
  <c r="AM20" i="4" s="1"/>
  <c r="Z19" i="4"/>
  <c r="AD19" i="4" s="1"/>
  <c r="AK19" i="4" s="1"/>
  <c r="AC20" i="4"/>
  <c r="AG20" i="4" s="1"/>
  <c r="AN20" i="4" s="1"/>
  <c r="AA19" i="4"/>
  <c r="AE19" i="4" s="1"/>
  <c r="AL19" i="4" s="1"/>
  <c r="AB19" i="4"/>
  <c r="AF19" i="4" s="1"/>
  <c r="AM19" i="4" s="1"/>
  <c r="AC19" i="4"/>
  <c r="AG19" i="4" s="1"/>
  <c r="AN19" i="4" s="1"/>
  <c r="Z8" i="13"/>
  <c r="AD8" i="13" s="1"/>
  <c r="AK8" i="13" s="1"/>
  <c r="AA16" i="13"/>
  <c r="AE16" i="13" s="1"/>
  <c r="AL16" i="13" s="1"/>
  <c r="AB8" i="13"/>
  <c r="AF8" i="13" s="1"/>
  <c r="AM8" i="13" s="1"/>
  <c r="Z13" i="13"/>
  <c r="AD13" i="13" s="1"/>
  <c r="AK13" i="13" s="1"/>
  <c r="AB10" i="13"/>
  <c r="AF10" i="13" s="1"/>
  <c r="AM10" i="13" s="1"/>
  <c r="Z12" i="13"/>
  <c r="AD12" i="13" s="1"/>
  <c r="AK12" i="13" s="1"/>
  <c r="AA14" i="13"/>
  <c r="AE14" i="13" s="1"/>
  <c r="AL14" i="13" s="1"/>
  <c r="AB9" i="13"/>
  <c r="AF9" i="13" s="1"/>
  <c r="AM9" i="13" s="1"/>
  <c r="Z7" i="13"/>
  <c r="AA8" i="13"/>
  <c r="AE8" i="13" s="1"/>
  <c r="AL8" i="13" s="1"/>
  <c r="AB15" i="13"/>
  <c r="AF15" i="13" s="1"/>
  <c r="AM15" i="13" s="1"/>
  <c r="AA7" i="13"/>
  <c r="Z10" i="13"/>
  <c r="AD10" i="13" s="1"/>
  <c r="AK10" i="13" s="1"/>
  <c r="AC15" i="13"/>
  <c r="AG15" i="13" s="1"/>
  <c r="AN15" i="13" s="1"/>
  <c r="AA9" i="13"/>
  <c r="AE9" i="13" s="1"/>
  <c r="AL9" i="13" s="1"/>
  <c r="AB7" i="13"/>
  <c r="Z14" i="13"/>
  <c r="AD14" i="13" s="1"/>
  <c r="AK14" i="13" s="1"/>
  <c r="AC13" i="13"/>
  <c r="AG13" i="13" s="1"/>
  <c r="AN13" i="13" s="1"/>
  <c r="AA15" i="13"/>
  <c r="AE15" i="13" s="1"/>
  <c r="AL15" i="13" s="1"/>
  <c r="AB16" i="13"/>
  <c r="AF16" i="13" s="1"/>
  <c r="AM16" i="13" s="1"/>
  <c r="AB14" i="13"/>
  <c r="AF14" i="13" s="1"/>
  <c r="AM14" i="13" s="1"/>
  <c r="AC7" i="13"/>
  <c r="AC10" i="13"/>
  <c r="AG10" i="13" s="1"/>
  <c r="AN10" i="13" s="1"/>
  <c r="Z15" i="13"/>
  <c r="AD15" i="13" s="1"/>
  <c r="AK15" i="13" s="1"/>
  <c r="AC11" i="13"/>
  <c r="AG11" i="13" s="1"/>
  <c r="AN11" i="13" s="1"/>
  <c r="Z9" i="13"/>
  <c r="AD9" i="13" s="1"/>
  <c r="AK9" i="13" s="1"/>
  <c r="AB13" i="13"/>
  <c r="AF13" i="13" s="1"/>
  <c r="AM13" i="13" s="1"/>
  <c r="AB11" i="13"/>
  <c r="AF11" i="13" s="1"/>
  <c r="AM11" i="13" s="1"/>
  <c r="AA10" i="13"/>
  <c r="AE10" i="13" s="1"/>
  <c r="AL10" i="13" s="1"/>
  <c r="AC14" i="13"/>
  <c r="AG14" i="13" s="1"/>
  <c r="AN14" i="13" s="1"/>
  <c r="AC8" i="13"/>
  <c r="AG8" i="13" s="1"/>
  <c r="AN8" i="13" s="1"/>
  <c r="AA11" i="13"/>
  <c r="AE11" i="13" s="1"/>
  <c r="AL11" i="13" s="1"/>
  <c r="AC12" i="13"/>
  <c r="AG12" i="13" s="1"/>
  <c r="AN12" i="13" s="1"/>
  <c r="AC9" i="13"/>
  <c r="AG9" i="13" s="1"/>
  <c r="AN9" i="13" s="1"/>
  <c r="AA12" i="13"/>
  <c r="AE12" i="13" s="1"/>
  <c r="AL12" i="13" s="1"/>
  <c r="Z11" i="13"/>
  <c r="AD11" i="13" s="1"/>
  <c r="AK11" i="13" s="1"/>
  <c r="AA13" i="13"/>
  <c r="AE13" i="13" s="1"/>
  <c r="AL13" i="13" s="1"/>
  <c r="AB12" i="13"/>
  <c r="AF12" i="13" s="1"/>
  <c r="AM12" i="13" s="1"/>
  <c r="AC16" i="13"/>
  <c r="AG16" i="13" s="1"/>
  <c r="AN16" i="13" s="1"/>
  <c r="Z16" i="13"/>
  <c r="AD16" i="13" s="1"/>
  <c r="AK16" i="13" s="1"/>
  <c r="Z17" i="4"/>
  <c r="AD17" i="4" s="1"/>
  <c r="AA17" i="4"/>
  <c r="AE17" i="4" s="1"/>
  <c r="AL17" i="4" s="1"/>
  <c r="Z9" i="4"/>
  <c r="AD9" i="4" s="1"/>
  <c r="Z8" i="4"/>
  <c r="AD8" i="4" s="1"/>
  <c r="Z10" i="4"/>
  <c r="AD10" i="4" s="1"/>
  <c r="Z12" i="4"/>
  <c r="AD12" i="4" s="1"/>
  <c r="AB13" i="4"/>
  <c r="AF13" i="4" s="1"/>
  <c r="AM13" i="4" s="1"/>
  <c r="AC17" i="4"/>
  <c r="AG17" i="4" s="1"/>
  <c r="AN17" i="4" s="1"/>
  <c r="Z15" i="4"/>
  <c r="AD15" i="4" s="1"/>
  <c r="Z14" i="4"/>
  <c r="AD14" i="4" s="1"/>
  <c r="Z13" i="4"/>
  <c r="AD13" i="4" s="1"/>
  <c r="Z16" i="4"/>
  <c r="AD16" i="4" s="1"/>
  <c r="Z11" i="4"/>
  <c r="AD11" i="4" s="1"/>
  <c r="AC15" i="4"/>
  <c r="AG15" i="4" s="1"/>
  <c r="AN15" i="4" s="1"/>
  <c r="AB9" i="4"/>
  <c r="AF9" i="4" s="1"/>
  <c r="AM9" i="4" s="1"/>
  <c r="AB10" i="4"/>
  <c r="AF10" i="4" s="1"/>
  <c r="AM10" i="4" s="1"/>
  <c r="AA12" i="4"/>
  <c r="AE12" i="4" s="1"/>
  <c r="AL12" i="4" s="1"/>
  <c r="AB16" i="4"/>
  <c r="AF16" i="4" s="1"/>
  <c r="AM16" i="4" s="1"/>
  <c r="AB12" i="4"/>
  <c r="AF12" i="4" s="1"/>
  <c r="AM12" i="4" s="1"/>
  <c r="AC14" i="4"/>
  <c r="AG14" i="4" s="1"/>
  <c r="AN14" i="4" s="1"/>
  <c r="AA11" i="4"/>
  <c r="AE11" i="4" s="1"/>
  <c r="AL11" i="4" s="1"/>
  <c r="Z18" i="4"/>
  <c r="AD18" i="4" s="1"/>
  <c r="AC13" i="4"/>
  <c r="AG13" i="4" s="1"/>
  <c r="AN13" i="4" s="1"/>
  <c r="AA10" i="4"/>
  <c r="AE10" i="4" s="1"/>
  <c r="AL10" i="4" s="1"/>
  <c r="AB14" i="4"/>
  <c r="AF14" i="4" s="1"/>
  <c r="AM14" i="4" s="1"/>
  <c r="AA16" i="4"/>
  <c r="AE16" i="4" s="1"/>
  <c r="AL16" i="4" s="1"/>
  <c r="AA8" i="4"/>
  <c r="AE8" i="4" s="1"/>
  <c r="AL8" i="4" s="1"/>
  <c r="AA15" i="4"/>
  <c r="AE15" i="4" s="1"/>
  <c r="AL15" i="4" s="1"/>
  <c r="AC12" i="4"/>
  <c r="AG12" i="4" s="1"/>
  <c r="AN12" i="4" s="1"/>
  <c r="AB11" i="4"/>
  <c r="AF11" i="4" s="1"/>
  <c r="AM11" i="4" s="1"/>
  <c r="AC10" i="4"/>
  <c r="AG10" i="4" s="1"/>
  <c r="AN10" i="4" s="1"/>
  <c r="AC11" i="4"/>
  <c r="AG11" i="4" s="1"/>
  <c r="AN11" i="4" s="1"/>
  <c r="AB8" i="4"/>
  <c r="AF8" i="4" s="1"/>
  <c r="AM8" i="4" s="1"/>
  <c r="AA13" i="4"/>
  <c r="AE13" i="4" s="1"/>
  <c r="AL13" i="4" s="1"/>
  <c r="AC9" i="4"/>
  <c r="AG9" i="4" s="1"/>
  <c r="AN9" i="4" s="1"/>
  <c r="AB15" i="4"/>
  <c r="AF15" i="4" s="1"/>
  <c r="AM15" i="4" s="1"/>
  <c r="AA14" i="4"/>
  <c r="AE14" i="4" s="1"/>
  <c r="AL14" i="4" s="1"/>
  <c r="AA9" i="4"/>
  <c r="AE9" i="4" s="1"/>
  <c r="AL9" i="4" s="1"/>
  <c r="AC16" i="4"/>
  <c r="AG16" i="4" s="1"/>
  <c r="AN16" i="4" s="1"/>
  <c r="AB17" i="4"/>
  <c r="AF17" i="4" s="1"/>
  <c r="AM17" i="4" s="1"/>
  <c r="AC8" i="4"/>
  <c r="AG8" i="4" s="1"/>
  <c r="AN8" i="4" s="1"/>
  <c r="AB18" i="4"/>
  <c r="AF18" i="4" s="1"/>
  <c r="AM18" i="4" s="1"/>
  <c r="Z7" i="4"/>
  <c r="AC18" i="4"/>
  <c r="AG18" i="4" s="1"/>
  <c r="AN18" i="4" s="1"/>
  <c r="AA18" i="4"/>
  <c r="AE18" i="4" s="1"/>
  <c r="AL18" i="4" s="1"/>
  <c r="AB7" i="4"/>
  <c r="AC7" i="4"/>
  <c r="AA7" i="4"/>
  <c r="AO19" i="4" l="1"/>
  <c r="AO20" i="4"/>
  <c r="AO21" i="4"/>
  <c r="AO11" i="13"/>
  <c r="AP11" i="13" s="1"/>
  <c r="AQ11" i="13" s="1"/>
  <c r="AO16" i="13"/>
  <c r="AO14" i="13"/>
  <c r="AO12" i="13"/>
  <c r="AO9" i="13"/>
  <c r="AB17" i="13"/>
  <c r="AF7" i="13"/>
  <c r="AO15" i="13"/>
  <c r="AO10" i="13"/>
  <c r="AO13" i="13"/>
  <c r="AA17" i="13"/>
  <c r="AE7" i="13"/>
  <c r="Z17" i="13"/>
  <c r="AD7" i="13"/>
  <c r="AC17" i="13"/>
  <c r="AG7" i="13"/>
  <c r="AO8" i="13"/>
  <c r="AK14" i="4"/>
  <c r="AK10" i="4"/>
  <c r="AB22" i="4"/>
  <c r="AF7" i="4"/>
  <c r="AK9" i="4"/>
  <c r="AK15" i="4"/>
  <c r="AK11" i="4"/>
  <c r="AA22" i="4"/>
  <c r="AE7" i="4"/>
  <c r="Z22" i="4"/>
  <c r="AD7" i="4"/>
  <c r="AK18" i="4"/>
  <c r="AK12" i="4"/>
  <c r="AK13" i="4"/>
  <c r="AC22" i="4"/>
  <c r="AG7" i="4"/>
  <c r="AK8" i="4"/>
  <c r="AK16" i="4"/>
  <c r="AK17" i="4"/>
  <c r="AP19" i="4" l="1"/>
  <c r="AQ19" i="4" s="1"/>
  <c r="C23" i="2"/>
  <c r="AP21" i="4"/>
  <c r="AQ21" i="4" s="1"/>
  <c r="C25" i="2"/>
  <c r="AP20" i="4"/>
  <c r="AQ20" i="4" s="1"/>
  <c r="C24" i="2"/>
  <c r="C34" i="2"/>
  <c r="D34" i="2" s="1"/>
  <c r="E34" i="2" s="1"/>
  <c r="C36" i="2"/>
  <c r="AP13" i="13"/>
  <c r="AQ13" i="13" s="1"/>
  <c r="C31" i="2"/>
  <c r="AP8" i="13"/>
  <c r="AQ8" i="13" s="1"/>
  <c r="C33" i="2"/>
  <c r="AP10" i="13"/>
  <c r="AQ10" i="13" s="1"/>
  <c r="AM7" i="13"/>
  <c r="AM17" i="13" s="1"/>
  <c r="AV7" i="13" s="1"/>
  <c r="AV8" i="13" s="1"/>
  <c r="AF17" i="13"/>
  <c r="AP9" i="13"/>
  <c r="AQ9" i="13" s="1"/>
  <c r="C32" i="2"/>
  <c r="AK7" i="13"/>
  <c r="AD17" i="13"/>
  <c r="AP12" i="13"/>
  <c r="AQ12" i="13" s="1"/>
  <c r="C35" i="2"/>
  <c r="AN7" i="13"/>
  <c r="AN17" i="13" s="1"/>
  <c r="AW7" i="13" s="1"/>
  <c r="AW8" i="13" s="1"/>
  <c r="AG17" i="13"/>
  <c r="AP14" i="13"/>
  <c r="AQ14" i="13" s="1"/>
  <c r="C37" i="2"/>
  <c r="AP15" i="13"/>
  <c r="AQ15" i="13" s="1"/>
  <c r="C38" i="2"/>
  <c r="AL7" i="13"/>
  <c r="AL17" i="13" s="1"/>
  <c r="AU7" i="13" s="1"/>
  <c r="AU8" i="13" s="1"/>
  <c r="AE17" i="13"/>
  <c r="C39" i="2"/>
  <c r="AP16" i="13"/>
  <c r="AQ16" i="13" s="1"/>
  <c r="AO10" i="4"/>
  <c r="AP10" i="4" s="1"/>
  <c r="AG22" i="4"/>
  <c r="AN7" i="4"/>
  <c r="AN22" i="4" s="1"/>
  <c r="AW7" i="4" s="1"/>
  <c r="AW8" i="4" s="1"/>
  <c r="AD22" i="4"/>
  <c r="AK7" i="4"/>
  <c r="AO9" i="4"/>
  <c r="AP9" i="4" s="1"/>
  <c r="AE22" i="4"/>
  <c r="AL7" i="4"/>
  <c r="AL22" i="4" s="1"/>
  <c r="AU7" i="4" s="1"/>
  <c r="AU8" i="4" s="1"/>
  <c r="AO15" i="4"/>
  <c r="AP15" i="4" s="1"/>
  <c r="AO13" i="4"/>
  <c r="AP13" i="4" s="1"/>
  <c r="AO17" i="4"/>
  <c r="AP17" i="4" s="1"/>
  <c r="AO12" i="4"/>
  <c r="AP12" i="4" s="1"/>
  <c r="AM7" i="4"/>
  <c r="AM22" i="4" s="1"/>
  <c r="AV7" i="4" s="1"/>
  <c r="AV8" i="4" s="1"/>
  <c r="AF22" i="4"/>
  <c r="AO14" i="4"/>
  <c r="AP14" i="4" s="1"/>
  <c r="AO11" i="4"/>
  <c r="AP11" i="4" s="1"/>
  <c r="AO8" i="4"/>
  <c r="AP8" i="4" s="1"/>
  <c r="AO18" i="4"/>
  <c r="AP18" i="4" s="1"/>
  <c r="AO16" i="4"/>
  <c r="AP16" i="4" s="1"/>
  <c r="D23" i="2" l="1"/>
  <c r="E23" i="2" s="1"/>
  <c r="F23" i="2"/>
  <c r="D24" i="2"/>
  <c r="E24" i="2" s="1"/>
  <c r="F24" i="2"/>
  <c r="G24" i="2" s="1"/>
  <c r="H24" i="2" s="1"/>
  <c r="D25" i="2"/>
  <c r="E25" i="2" s="1"/>
  <c r="F25" i="2"/>
  <c r="G25" i="2" s="1"/>
  <c r="H25" i="2" s="1"/>
  <c r="F34" i="2"/>
  <c r="G34" i="2" s="1"/>
  <c r="H34" i="2" s="1"/>
  <c r="F32" i="2"/>
  <c r="G32" i="2" s="1"/>
  <c r="H32" i="2" s="1"/>
  <c r="D32" i="2"/>
  <c r="E32" i="2" s="1"/>
  <c r="F37" i="2"/>
  <c r="G37" i="2" s="1"/>
  <c r="H37" i="2" s="1"/>
  <c r="D37" i="2"/>
  <c r="E37" i="2" s="1"/>
  <c r="D33" i="2"/>
  <c r="E33" i="2" s="1"/>
  <c r="F33" i="2"/>
  <c r="G33" i="2" s="1"/>
  <c r="H33" i="2" s="1"/>
  <c r="F38" i="2"/>
  <c r="G38" i="2" s="1"/>
  <c r="H38" i="2" s="1"/>
  <c r="D38" i="2"/>
  <c r="E38" i="2" s="1"/>
  <c r="F31" i="2"/>
  <c r="G31" i="2" s="1"/>
  <c r="H31" i="2" s="1"/>
  <c r="D31" i="2"/>
  <c r="E31" i="2" s="1"/>
  <c r="F39" i="2"/>
  <c r="G39" i="2" s="1"/>
  <c r="H39" i="2" s="1"/>
  <c r="D39" i="2"/>
  <c r="E39" i="2" s="1"/>
  <c r="F35" i="2"/>
  <c r="G35" i="2" s="1"/>
  <c r="H35" i="2" s="1"/>
  <c r="D35" i="2"/>
  <c r="E35" i="2" s="1"/>
  <c r="AO7" i="13"/>
  <c r="AK17" i="13"/>
  <c r="AT7" i="13" s="1"/>
  <c r="AT8" i="13" s="1"/>
  <c r="AT10" i="13" s="1"/>
  <c r="D36" i="2"/>
  <c r="E36" i="2" s="1"/>
  <c r="F36" i="2"/>
  <c r="G36" i="2" s="1"/>
  <c r="H36" i="2" s="1"/>
  <c r="C17" i="2"/>
  <c r="AQ13" i="4"/>
  <c r="C20" i="2"/>
  <c r="AQ16" i="4"/>
  <c r="AQ15" i="4"/>
  <c r="C19" i="2"/>
  <c r="AQ18" i="4"/>
  <c r="C22" i="2"/>
  <c r="AQ14" i="4"/>
  <c r="C18" i="2"/>
  <c r="C14" i="2"/>
  <c r="AQ10" i="4"/>
  <c r="AQ17" i="4"/>
  <c r="C21" i="2"/>
  <c r="AQ11" i="4"/>
  <c r="C15" i="2"/>
  <c r="AQ9" i="4"/>
  <c r="C13" i="2"/>
  <c r="C12" i="2"/>
  <c r="AQ8" i="4"/>
  <c r="AQ12" i="4"/>
  <c r="C16" i="2"/>
  <c r="AK22" i="4"/>
  <c r="AT7" i="4" s="1"/>
  <c r="AT8" i="4" s="1"/>
  <c r="AT10" i="4" s="1"/>
  <c r="AO7" i="4"/>
  <c r="AP7" i="4" s="1"/>
  <c r="G23" i="2" l="1"/>
  <c r="H23" i="2" s="1"/>
  <c r="D6" i="2"/>
  <c r="AT11" i="13"/>
  <c r="C30" i="2"/>
  <c r="AP7" i="13"/>
  <c r="AP17" i="13" s="1"/>
  <c r="AT12" i="13" s="1"/>
  <c r="AO17" i="13"/>
  <c r="AO22" i="4"/>
  <c r="C11" i="2"/>
  <c r="AP22" i="4"/>
  <c r="AT12" i="4" s="1"/>
  <c r="AT14" i="4" s="1"/>
  <c r="F13" i="2"/>
  <c r="D13" i="2"/>
  <c r="E13" i="2" s="1"/>
  <c r="F14" i="2"/>
  <c r="D14" i="2"/>
  <c r="E14" i="2" s="1"/>
  <c r="AT11" i="4"/>
  <c r="D5" i="2"/>
  <c r="F18" i="2"/>
  <c r="D18" i="2"/>
  <c r="E18" i="2" s="1"/>
  <c r="F12" i="2"/>
  <c r="D12" i="2"/>
  <c r="E12" i="2" s="1"/>
  <c r="F20" i="2"/>
  <c r="D20" i="2"/>
  <c r="E20" i="2" s="1"/>
  <c r="D22" i="2"/>
  <c r="E22" i="2" s="1"/>
  <c r="F22" i="2"/>
  <c r="F19" i="2"/>
  <c r="D19" i="2"/>
  <c r="E19" i="2" s="1"/>
  <c r="D21" i="2"/>
  <c r="E21" i="2" s="1"/>
  <c r="F21" i="2"/>
  <c r="F16" i="2"/>
  <c r="D16" i="2"/>
  <c r="E16" i="2" s="1"/>
  <c r="D15" i="2"/>
  <c r="E15" i="2" s="1"/>
  <c r="F15" i="2"/>
  <c r="D17" i="2"/>
  <c r="E17" i="2" s="1"/>
  <c r="F17" i="2"/>
  <c r="AQ7" i="13" l="1"/>
  <c r="AQ17" i="13" s="1"/>
  <c r="D7" i="2"/>
  <c r="F30" i="2"/>
  <c r="D30" i="2"/>
  <c r="C40" i="2"/>
  <c r="F6" i="2"/>
  <c r="G6" i="2" s="1"/>
  <c r="AT13" i="13"/>
  <c r="AT15" i="13" s="1"/>
  <c r="AT14" i="13"/>
  <c r="E6" i="2"/>
  <c r="G16" i="2"/>
  <c r="H16" i="2" s="1"/>
  <c r="E5" i="2"/>
  <c r="G17" i="2"/>
  <c r="H17" i="2" s="1"/>
  <c r="F5" i="2"/>
  <c r="AT13" i="4"/>
  <c r="AT15" i="4" s="1"/>
  <c r="G21" i="2"/>
  <c r="H21" i="2" s="1"/>
  <c r="G12" i="2"/>
  <c r="H12" i="2" s="1"/>
  <c r="C26" i="2"/>
  <c r="D11" i="2"/>
  <c r="D26" i="2" s="1"/>
  <c r="F11" i="2"/>
  <c r="G13" i="2"/>
  <c r="H13" i="2" s="1"/>
  <c r="AQ7" i="4"/>
  <c r="AQ22" i="4" s="1"/>
  <c r="G18" i="2"/>
  <c r="H18" i="2" s="1"/>
  <c r="G19" i="2"/>
  <c r="H19" i="2" s="1"/>
  <c r="G15" i="2"/>
  <c r="H15" i="2" s="1"/>
  <c r="G14" i="2"/>
  <c r="H14" i="2" s="1"/>
  <c r="G20" i="2"/>
  <c r="H20" i="2" s="1"/>
  <c r="G22" i="2"/>
  <c r="H22" i="2" s="1"/>
  <c r="H6" i="2" l="1"/>
  <c r="I6" i="2" s="1"/>
  <c r="E7" i="2"/>
  <c r="I24" i="2" s="1"/>
  <c r="E30" i="2"/>
  <c r="E40" i="2" s="1"/>
  <c r="D40" i="2"/>
  <c r="F7" i="2"/>
  <c r="G30" i="2"/>
  <c r="G40" i="2" s="1"/>
  <c r="F40" i="2"/>
  <c r="E11" i="2"/>
  <c r="E26" i="2" s="1"/>
  <c r="G5" i="2"/>
  <c r="G7" i="2" s="1"/>
  <c r="H5" i="2"/>
  <c r="F26" i="2"/>
  <c r="G11" i="2"/>
  <c r="G26" i="2" s="1"/>
  <c r="H7" i="2" l="1"/>
  <c r="F11" i="1" s="1"/>
  <c r="G11" i="1" s="1"/>
  <c r="I31" i="2"/>
  <c r="I19" i="2"/>
  <c r="I11" i="2"/>
  <c r="I16" i="2"/>
  <c r="I33" i="2"/>
  <c r="I21" i="2"/>
  <c r="I18" i="2"/>
  <c r="I35" i="2"/>
  <c r="I15" i="2"/>
  <c r="I25" i="2"/>
  <c r="I30" i="2"/>
  <c r="I34" i="2"/>
  <c r="I22" i="2"/>
  <c r="I37" i="2"/>
  <c r="I38" i="2"/>
  <c r="I23" i="2"/>
  <c r="I17" i="2"/>
  <c r="I13" i="2"/>
  <c r="I32" i="2"/>
  <c r="I20" i="2"/>
  <c r="I39" i="2"/>
  <c r="I14" i="2"/>
  <c r="I12" i="2"/>
  <c r="I36" i="2"/>
  <c r="H30" i="2"/>
  <c r="H40" i="2" s="1"/>
  <c r="H11" i="2"/>
  <c r="H26" i="2" s="1"/>
  <c r="I5" i="2"/>
  <c r="I7" i="2" s="1"/>
  <c r="I26" i="2" l="1"/>
  <c r="I40" i="2"/>
</calcChain>
</file>

<file path=xl/sharedStrings.xml><?xml version="1.0" encoding="utf-8"?>
<sst xmlns="http://schemas.openxmlformats.org/spreadsheetml/2006/main" count="807" uniqueCount="312">
  <si>
    <t>ANEXO I – B2</t>
  </si>
  <si>
    <t>PLANILHA DETALHADA DE FORMAÇÃO DE PREÇO</t>
  </si>
  <si>
    <t>POLO II</t>
  </si>
  <si>
    <t>DESONERADA</t>
  </si>
  <si>
    <t>ITEM</t>
  </si>
  <si>
    <t>DESCRIÇÃO DO SERVIÇO</t>
  </si>
  <si>
    <t>UN.</t>
  </si>
  <si>
    <t>QTE.</t>
  </si>
  <si>
    <t>PREÇO UNITÁRIO (R$)</t>
  </si>
  <si>
    <t>PREÇO TOTAL 24 MESES (R$)</t>
  </si>
  <si>
    <t>Serviço de manutenção predial preventiva e corretiva por demanda, com fornecimento de materiais, peças e componentes, nos imóveis relacionados no Polo Regional II.</t>
  </si>
  <si>
    <t>Mês</t>
  </si>
  <si>
    <t>VALOR TOTAL DO ITEM 2: R$ 3.543.633,84 (Três milhões, quinhentos e quarenta e três mil, seiscentos e trinta e três reais e oitenta e quatro centavos)</t>
  </si>
  <si>
    <t>BASE</t>
  </si>
  <si>
    <t>ÁREA TOTAL (m²)</t>
  </si>
  <si>
    <t>CUSTO MÉDIO MENSAL (PREVENTIVA)</t>
  </si>
  <si>
    <t>CUSTO ANUAL (PREVENTIVA)</t>
  </si>
  <si>
    <t>CUSTO MÉDIO MENSAL (CORRETIVA)</t>
  </si>
  <si>
    <t>CUSTO ANUAL (CORRETIVA)</t>
  </si>
  <si>
    <t>CUSTO MÉDIO MENSAL MANUTENÇÃO</t>
  </si>
  <si>
    <t>CUSTO ANUAL MANUTENÇÃO</t>
  </si>
  <si>
    <t>LONDRINA</t>
  </si>
  <si>
    <t>GUARAPUAVA</t>
  </si>
  <si>
    <t>Custo Médio Mensal</t>
  </si>
  <si>
    <t>Custo Anual</t>
  </si>
  <si>
    <t>Percentual por unidade</t>
  </si>
  <si>
    <t>Preventiva</t>
  </si>
  <si>
    <t>Corretiva</t>
  </si>
  <si>
    <t>Total</t>
  </si>
  <si>
    <t>%</t>
  </si>
  <si>
    <t>Valores SINAPI*</t>
  </si>
  <si>
    <t>Engenheiro Civil (ref. SINAPI/90778)</t>
  </si>
  <si>
    <t>Engenheiro eletricista (comp. própria)</t>
  </si>
  <si>
    <t>Auxiliar Técnico (ref. SINAPI/88255)</t>
  </si>
  <si>
    <t>Quantidade de horas/mês</t>
  </si>
  <si>
    <t>Custo mensal</t>
  </si>
  <si>
    <t>Custo anual</t>
  </si>
  <si>
    <t>* SINAPI Maio/2025 (Desonerado)</t>
  </si>
  <si>
    <t>CUSTO POR PERÍODO (Sem BDI)</t>
  </si>
  <si>
    <t>Custo mensal da equipe</t>
  </si>
  <si>
    <t>Custo anual da equipe</t>
  </si>
  <si>
    <t>UNIDADE</t>
  </si>
  <si>
    <t>Área (m²)</t>
  </si>
  <si>
    <t>Horas</t>
  </si>
  <si>
    <t>GEX / APS</t>
  </si>
  <si>
    <t>Custo da equipe em execução por rotina</t>
  </si>
  <si>
    <t>Custos mensais</t>
  </si>
  <si>
    <t>Custo Equipe técnica</t>
  </si>
  <si>
    <t>Custo total por rotina (SEM BDI)</t>
  </si>
  <si>
    <t>Custo total por rotina (COM BDI)</t>
  </si>
  <si>
    <t>Custo Mensal de Manutenção por unidade</t>
  </si>
  <si>
    <t>Uso constante</t>
  </si>
  <si>
    <t>Uso esporádico</t>
  </si>
  <si>
    <t>Ociosa</t>
  </si>
  <si>
    <t>Área corrigida</t>
  </si>
  <si>
    <t>horas p visita mensal (h)</t>
  </si>
  <si>
    <t>horas p visita trimestral (h)</t>
  </si>
  <si>
    <t>Possui hidrante?</t>
  </si>
  <si>
    <t>Possui subestação?</t>
  </si>
  <si>
    <t>horas p visita semestral(h)</t>
  </si>
  <si>
    <t>horas p visita anual(h)</t>
  </si>
  <si>
    <t>Total horas p/ ano</t>
  </si>
  <si>
    <t>Mensal</t>
  </si>
  <si>
    <t>Trimestral</t>
  </si>
  <si>
    <t>Semestral</t>
  </si>
  <si>
    <t>Anual</t>
  </si>
  <si>
    <t>Equipe em desl.</t>
  </si>
  <si>
    <t>Pernoite</t>
  </si>
  <si>
    <t>Pedágio</t>
  </si>
  <si>
    <t>Veículo</t>
  </si>
  <si>
    <t>Total de horas de execução do Polo:</t>
  </si>
  <si>
    <t>BDI</t>
  </si>
  <si>
    <t>Custo Médio Mensal Preventiva</t>
  </si>
  <si>
    <t>Custo Médio Mensal Corretiva</t>
  </si>
  <si>
    <t>Custo Médio Mensal Manutenção</t>
  </si>
  <si>
    <t>Custos / Rotinas</t>
  </si>
  <si>
    <t>coeficiente</t>
  </si>
  <si>
    <t>12 rotinas</t>
  </si>
  <si>
    <t>4 rotinas</t>
  </si>
  <si>
    <t>2 rotinas</t>
  </si>
  <si>
    <t>1 rotina</t>
  </si>
  <si>
    <t>APS ADJ LONDRINA</t>
  </si>
  <si>
    <t>Custo por tipo de rotina</t>
  </si>
  <si>
    <t>APS ANDIRÁ</t>
  </si>
  <si>
    <t>Custo Anual por tipo de rotina</t>
  </si>
  <si>
    <t>APS APUCARANA</t>
  </si>
  <si>
    <t>APS ARAPONGAS</t>
  </si>
  <si>
    <t>APS BANDEIRANTES</t>
  </si>
  <si>
    <t>Custo Anual Preventiva</t>
  </si>
  <si>
    <t>APS CAMBARÁ</t>
  </si>
  <si>
    <t>APS CAMBÉ</t>
  </si>
  <si>
    <t>Custo Anual Corretiva</t>
  </si>
  <si>
    <t>APS CORNÉLIO PROCÓPIO</t>
  </si>
  <si>
    <t>APS JACAREZINHO</t>
  </si>
  <si>
    <t>Custo Anual Manutenção</t>
  </si>
  <si>
    <t>APS LONDRINA-CENTRO</t>
  </si>
  <si>
    <t>APS LONDRINA-SHANGRILÁ</t>
  </si>
  <si>
    <t>APS ROLÂNDIA</t>
  </si>
  <si>
    <t>APS SANTO ANTÔNIO DA PLATINA</t>
  </si>
  <si>
    <t>GEX LONDRINA</t>
  </si>
  <si>
    <t>APS IBAITI</t>
  </si>
  <si>
    <t>TOTAL</t>
  </si>
  <si>
    <t>Oficial de Manutenção Predial</t>
  </si>
  <si>
    <t>Ajudante (ref. SINAPI/88241)</t>
  </si>
  <si>
    <t>Eletrotécnico (ref. SINAPI/88266)</t>
  </si>
  <si>
    <t>Rotas</t>
  </si>
  <si>
    <t>Trecho 1 (Km)</t>
  </si>
  <si>
    <t>Trecho 2 (Km)</t>
  </si>
  <si>
    <t>Trecho 3 (Km)</t>
  </si>
  <si>
    <t>Total (Km)</t>
  </si>
  <si>
    <t>Trecho 1 (min)</t>
  </si>
  <si>
    <t>Trecho 2 (min)</t>
  </si>
  <si>
    <t>Trecho 3 (min)</t>
  </si>
  <si>
    <t>Total (min)</t>
  </si>
  <si>
    <t>Total (horas)</t>
  </si>
  <si>
    <t>Pedágio (ida e volta)</t>
  </si>
  <si>
    <t>Unidades na rota</t>
  </si>
  <si>
    <t>Média horas p/ unidade</t>
  </si>
  <si>
    <t>Média pedágio p/ unidade</t>
  </si>
  <si>
    <t>Subestação?</t>
  </si>
  <si>
    <t>inclui eletrotécnico no deslocamento ?</t>
  </si>
  <si>
    <t>Custo do Veículo</t>
  </si>
  <si>
    <t>Composição*</t>
  </si>
  <si>
    <t>Descrição</t>
  </si>
  <si>
    <t>Unidade</t>
  </si>
  <si>
    <t>Valor</t>
  </si>
  <si>
    <t>92145/SINAPI</t>
  </si>
  <si>
    <t>CAMINHONETE CABINE SIMPLES</t>
  </si>
  <si>
    <t>CHP</t>
  </si>
  <si>
    <t>92146/SINAPI</t>
  </si>
  <si>
    <t>CHI</t>
  </si>
  <si>
    <t>* Nas composições utilizadas foram retirados os custos com motorista, pelo fato da própria equipe conduzir o veículo. A composição detalhada encontra-se em planilha apartada.</t>
  </si>
  <si>
    <t>Custo Mensal do Veículo</t>
  </si>
  <si>
    <t>Pedágios</t>
  </si>
  <si>
    <t>Insumo*</t>
  </si>
  <si>
    <t>2454/AGETOP</t>
  </si>
  <si>
    <t>PERNOITE EM QUARTO SOLTEIRO C/ AR CONDICIONADO OU VENTILADOR</t>
  </si>
  <si>
    <t>UN</t>
  </si>
  <si>
    <t>* Tabela AGETOP CIVIL Fevereiro/2025.</t>
  </si>
  <si>
    <t>APS IVAIPORÃ</t>
  </si>
  <si>
    <t>APS GUARAPUAVA</t>
  </si>
  <si>
    <t>APS LARANJEIRAS DO SUL</t>
  </si>
  <si>
    <t>APS PINHÃO</t>
  </si>
  <si>
    <t>APS PITANGA</t>
  </si>
  <si>
    <t>APS TELÊMACO BORBA</t>
  </si>
  <si>
    <t>APS PRUDENTÓPOLIS</t>
  </si>
  <si>
    <t>APS IMBITUVA</t>
  </si>
  <si>
    <t>APS JAGUARIAIVA</t>
  </si>
  <si>
    <t>APS ARAPOTI</t>
  </si>
  <si>
    <t>COMPOSIÇÃO CUSTO DO VEÍCULO</t>
  </si>
  <si>
    <t>Composição ALTERADA SINAPI – 92145 (SEM MOTORISTA)</t>
  </si>
  <si>
    <t>Código</t>
  </si>
  <si>
    <t>92145</t>
  </si>
  <si>
    <t>CAMINHONETE CABINE SIMPLES COM MOTOR 1.6 FLEX, CÂMBIO MANUAL, POTÊNCIA 101/104 CV, 2 PORTAS - CHP DIURNO. AF_11/2015</t>
  </si>
  <si>
    <t>Data</t>
  </si>
  <si>
    <t>05/2025</t>
  </si>
  <si>
    <t>Estado</t>
  </si>
  <si>
    <t>PARANÁ</t>
  </si>
  <si>
    <t>Tipo</t>
  </si>
  <si>
    <t>Custos Horários Produtivo e Improdutivo dos Equipamentos</t>
  </si>
  <si>
    <t>codigo</t>
  </si>
  <si>
    <t>Valor Unitário</t>
  </si>
  <si>
    <t>Coeficiente</t>
  </si>
  <si>
    <t>C</t>
  </si>
  <si>
    <t>92140</t>
  </si>
  <si>
    <t>CAMINHONETE CABINE SIMPLES COM MOTOR 1.6 FLEX, CÂMBIO MANUAL, POTÊNCIA 101/104 CV, 2 PORTAS - DEPRECIAÇÃO. AF_11/2015</t>
  </si>
  <si>
    <t>Depreciação, Juros, Impostos e Seguros, Manutenção e Materiais na Operação dos Equipamentos</t>
  </si>
  <si>
    <t>H</t>
  </si>
  <si>
    <t>92141</t>
  </si>
  <si>
    <t>CAMINHONETE CABINE SIMPLES COM MOTOR 1.6 FLEX, CÂMBIO MANUAL, POTÊNCIA 101/104 CV, 2 PORTAS - JUROS. AF_11/2015</t>
  </si>
  <si>
    <t>92142</t>
  </si>
  <si>
    <t>CAMINHONETE CABINE SIMPLES COM MOTOR 1.6 FLEX, CÂMBIO MANUAL, POTÊNCIA 101/104 CV, 2 PORTAS - IMPOSTOS E SEGUROS. AF_11/2015</t>
  </si>
  <si>
    <t>92143</t>
  </si>
  <si>
    <t>CAMINHONETE CABINE SIMPLES COM MOTOR 1.6 FLEX, CÂMBIO MANUAL, POTÊNCIA 101/104 CV, 2 PORTAS - MANUTENÇÃO. AF_11/2015</t>
  </si>
  <si>
    <t>92144</t>
  </si>
  <si>
    <t>CAMINHONETE CABINE SIMPLES COM MOTOR 1.6 FLEX, CÂMBIO MANUAL, POTÊNCIA 101/104 CV, 2 PORTAS - MATERIAIS NA OPERAÇÃO. AF_11/2015</t>
  </si>
  <si>
    <t>Composição ALTERADA SINAPI – 92146 (SEM MOTORISTA)</t>
  </si>
  <si>
    <t>92146</t>
  </si>
  <si>
    <t>CAMINHONETE CABINE SIMPLES COM MOTOR 1.6 FLEX, CÂMBIO MANUAL, POTÊNCIA 101/104 CV, 2 PORTAS - CHI DIURNO. AF_11/2015</t>
  </si>
  <si>
    <t>Profissional</t>
  </si>
  <si>
    <t>ENGENHEIRO ELETRICISTA</t>
  </si>
  <si>
    <t>Referência</t>
  </si>
  <si>
    <t>99275 / insumo SBC</t>
  </si>
  <si>
    <t>Data base</t>
  </si>
  <si>
    <t>Custo do insumo (h)</t>
  </si>
  <si>
    <t>Encargos Sociais (*) - (ES)</t>
  </si>
  <si>
    <t>Apêndice 16: Encargos Sociais – Paraná</t>
  </si>
  <si>
    <t>Horista Desonerado</t>
  </si>
  <si>
    <t>Horista Não Desonerado</t>
  </si>
  <si>
    <t>Cálculo custo do funcionário</t>
  </si>
  <si>
    <r>
      <rPr>
        <sz val="10"/>
        <rFont val="Arial"/>
        <family val="2"/>
        <charset val="1"/>
      </rPr>
      <t>Horista Desonerado - H</t>
    </r>
    <r>
      <rPr>
        <vertAlign val="subscript"/>
        <sz val="10"/>
        <rFont val="Arial"/>
        <family val="2"/>
        <charset val="1"/>
      </rPr>
      <t>desonerado</t>
    </r>
  </si>
  <si>
    <r>
      <rPr>
        <sz val="10"/>
        <rFont val="Arial"/>
        <family val="2"/>
        <charset val="1"/>
      </rPr>
      <t>Horista Não Desonerado - H</t>
    </r>
    <r>
      <rPr>
        <vertAlign val="subscript"/>
        <sz val="10"/>
        <rFont val="Arial"/>
        <family val="2"/>
        <charset val="1"/>
      </rPr>
      <t>não_desonerado</t>
    </r>
  </si>
  <si>
    <t>(*) Fonte: Livro SINAPI: Referências para Custos Horários e Encargos: Sistema Nacional de Pesquisa de Custos e Índices da Construção Civil / Caixa Econômica Federal. – 7ª Ed. – Brasília: CAIXA, Junho/2025.</t>
  </si>
  <si>
    <t>COMPOSIÇÃO CUSTO ENGENHEIRO ELETRICISTA</t>
  </si>
  <si>
    <t>Composição ALTERADA SINAPI – 91677</t>
  </si>
  <si>
    <t>ENGENHEIRO ELETRICISTA COM ENCARGOS COMPLEMENTARES</t>
  </si>
  <si>
    <t>SEDI - SERVIÇOS DIVERSOS</t>
  </si>
  <si>
    <t>95404/SINAPI Alterada (*)</t>
  </si>
  <si>
    <t>CURSO DE CAPACITAÇÃO PARA ENGENHEIRO ELETRICISTA</t>
  </si>
  <si>
    <t>-</t>
  </si>
  <si>
    <t>I</t>
  </si>
  <si>
    <t>99275/SBC</t>
  </si>
  <si>
    <t>Mão de Obra</t>
  </si>
  <si>
    <t xml:space="preserve"> 00037372 </t>
  </si>
  <si>
    <t>EXAMES - HORISTA (COLETADO CAIXA - ENCARGOS COMPLEMENTARES)</t>
  </si>
  <si>
    <t>Material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</si>
  <si>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</si>
  <si>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</si>
  <si>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</si>
  <si>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</si>
  <si>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</si>
  <si>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</si>
  <si>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(*) 95404/SINAPI Alterada: Multiplicado o valor unitário do insumo calculado para engenheiro eletricista com encargos complementares pelo coeficiente 0,0341 (% treinamento rotatividade 14,98 horista, extraído da Tabela 3.36: % Quantitativo das Horas de Capacitação – Horista, para função Engenheiro Eletricista com Encargos Complementares).
Fonte: Livro SINAPI: Referências para Custos Horários e Encargos: Sistema Nacional de Pesquisa de Custos e Índices da Construção Civil / Caixa Econômica Federal. – 7ª Ed. – Brasília: CAIXA, Junho/2025.</t>
  </si>
  <si>
    <t>Categoria</t>
  </si>
  <si>
    <t>Profissional (*)</t>
  </si>
  <si>
    <t>Convenção coletiva</t>
  </si>
  <si>
    <r>
      <rPr>
        <sz val="10"/>
        <rFont val="Arial"/>
        <family val="2"/>
        <charset val="1"/>
      </rPr>
      <t>CCT</t>
    </r>
    <r>
      <rPr>
        <sz val="12"/>
        <rFont val="Arial"/>
        <family val="2"/>
        <charset val="1"/>
      </rPr>
      <t xml:space="preserve"> </t>
    </r>
    <r>
      <rPr>
        <sz val="10"/>
        <color rgb="FF000000"/>
        <rFont val="Arial;Arial"/>
        <family val="2"/>
        <charset val="1"/>
      </rPr>
      <t xml:space="preserve"> PR001850/2024</t>
    </r>
  </si>
  <si>
    <t>01 de junho</t>
  </si>
  <si>
    <t>Abrangência</t>
  </si>
  <si>
    <t>Trabalhadores das indústrias da construção civil de Curitiba/PR e região</t>
  </si>
  <si>
    <t>Salário base (SB)</t>
  </si>
  <si>
    <t>Encargos Sociais (**) - (ES)
Apêndice 16: Encargos Sociais – Paraná</t>
  </si>
  <si>
    <t>Mensalista Desonerado</t>
  </si>
  <si>
    <t>Mensalista Não Desonerado</t>
  </si>
  <si>
    <t>Cálculo custo do funcionário (***)</t>
  </si>
  <si>
    <r>
      <rPr>
        <sz val="10"/>
        <rFont val="Arial"/>
        <family val="2"/>
        <charset val="1"/>
      </rPr>
      <t>Mensalista Desonerado (M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</si>
  <si>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Mensalista Não desonerado (M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=SB*(1+ES</t>
    </r>
    <r>
      <rPr>
        <vertAlign val="subscript"/>
        <sz val="10"/>
        <rFont val="Arial"/>
        <family val="2"/>
        <charset val="1"/>
      </rPr>
      <t>não_desonerado</t>
    </r>
    <r>
      <rPr>
        <sz val="10"/>
        <rFont val="Arial"/>
        <family val="2"/>
        <charset val="1"/>
      </rPr>
      <t>))</t>
    </r>
  </si>
  <si>
    <r>
      <rPr>
        <sz val="10"/>
        <rFont val="Arial"/>
        <family val="2"/>
        <charset val="1"/>
      </rPr>
      <t>Horista Desonerado (****) - (H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=M</t>
    </r>
    <r>
      <rPr>
        <vertAlign val="subscript"/>
        <sz val="10"/>
        <rFont val="Arial"/>
        <family val="2"/>
        <charset val="1"/>
      </rPr>
      <t>desonerado</t>
    </r>
    <r>
      <rPr>
        <sz val="10"/>
        <rFont val="Arial"/>
        <family val="2"/>
        <charset val="1"/>
      </rPr>
      <t>(1+</t>
    </r>
  </si>
  <si>
    <r>
      <rPr>
        <sz val="10"/>
        <rFont val="Arial"/>
        <family val="2"/>
        <charset val="1"/>
      </rPr>
      <t>Horista Não Desonerado (****) - H</t>
    </r>
    <r>
      <rPr>
        <vertAlign val="subscript"/>
        <sz val="10"/>
        <rFont val="Arial"/>
        <family val="2"/>
        <charset val="1"/>
      </rPr>
      <t>não_desonerado</t>
    </r>
  </si>
  <si>
    <t>(*) Descrição da categoria na CCT</t>
  </si>
  <si>
    <r>
      <rPr>
        <b/>
        <sz val="11"/>
        <color rgb="FF000000"/>
        <rFont val="Arial"/>
        <family val="2"/>
      </rPr>
      <t>a.3  - PROFISSIONAL -</t>
    </r>
    <r>
      <rPr>
        <sz val="11"/>
        <color rgb="FF000000"/>
        <rFont val="Arial"/>
        <family val="2"/>
        <charset val="1"/>
      </rPr>
      <t xml:space="preserve"> é todo trabalhador que, possuindo amplos e especializados conhecimentos de seu ofício, tem capacidade para realizá-lo com produtividade e desembaraço. Nesta categoria estão incluídas as diferentes funções inerentes ao ramo, cujas principais atividades são: pedreiro, carpinteiro, armador, encanador, eletricista, pintor, soldador, azulejista, almoxarife, apontador, guincheiro, calceteiro, cozinheiro(a), montador de guindastes, montador de estruturas metálicas, operador de equipamentos de terraplenagem, bate-estacas, perfuradeiras de solo para fundação e colocador de placa de gesso acartonado;</t>
    </r>
  </si>
  <si>
    <t>(**) Fonte: Livro SINAPI: Referências para Custos Horários e Encargos: Sistema Nacional de Pesquisa de Custos e Índices da Construção Civil / Caixa Econômica Federal. – 7ª Ed. – Brasília: CAIXA, Junho/2025.</t>
  </si>
  <si>
    <t>(***) Fonte: SINAPI: Metodologias e Conceitos: Sistema Nacional de Pesquisa de Custos e Índices da Construção Civil / Caixa Econômica Federal. – 10ª Ed. – Brasília: CAIXA, Junho/2025.</t>
  </si>
  <si>
    <t>(****) Fórmula para cálculo do custo do horista, com base no custo do mensalista (Livro Metodologias e Conceitos, página 80)</t>
  </si>
  <si>
    <t>COMPOSIÇÃO CUSTO OFICIAL DE MANUTENÇÃO PREDIAL (CBO 5143-25)</t>
  </si>
  <si>
    <t>Composição ALTERADA SINAPI – 88264</t>
  </si>
  <si>
    <t>OFICIAL DE MANUTENÇÃO PREDIAL COM ENCARGOS COMPLEMENTARES (CBO 5143-25)</t>
  </si>
  <si>
    <t>Livro SINAPI: Cálculos e Parâmetros</t>
  </si>
  <si>
    <t>CURSO DE CAPACITAÇÃO PARA ELETRICISTA (ENCARGOS COMPLEMENTARES) - HORISTA</t>
  </si>
  <si>
    <t>CCT</t>
  </si>
  <si>
    <t>OFICIAL DE MANUTENÇÃO PREDIAL (CBO 5413-25)</t>
  </si>
  <si>
    <t>ALIMENTACAO - HORISTA (COLETADO CAIXA - ENCARGOS COMPLEMENTARES)</t>
  </si>
  <si>
    <t>TRANSPORTE - HORISTA (COLETADO CAIXA - ENCARGOS COMPLEMENTARES)</t>
  </si>
  <si>
    <t>FERRAMENTAS - FAMILIA ELETRICISTA - HORISTA (ENCARGOS COMPLEMENTARES - COLETADO CAIXA)</t>
  </si>
  <si>
    <t>FERRAMENTAS - FAMILIA ENCANADOR - HORISTA (ENCARGOS COMPLEMENTARES - COLETADO CAIXA)</t>
  </si>
  <si>
    <t>EPI – FAMILIA ELETRICISTA - HORISTA (ENCARGOS COMPLEMENTARES - COLETADO CAIXA)</t>
  </si>
  <si>
    <t>GERÊNCIA</t>
  </si>
  <si>
    <t>ENDEREÇO</t>
  </si>
  <si>
    <t>TEMPO DE DESLOCAMENTO IDA E VOLTA DA BASE EM HORAS</t>
  </si>
  <si>
    <t>ISS</t>
  </si>
  <si>
    <t>ÁREA CONSTRUÍDA (M²)</t>
  </si>
  <si>
    <t>Uso constante
(M²)</t>
  </si>
  <si>
    <t>Uso esporádico (M²)</t>
  </si>
  <si>
    <t>Ociosa (M²)</t>
  </si>
  <si>
    <t>HIDRANTE</t>
  </si>
  <si>
    <t>SUBESTAÇÃO</t>
  </si>
  <si>
    <t>Av. Bandeirantes, 500</t>
  </si>
  <si>
    <t>NÃO</t>
  </si>
  <si>
    <t>Rua Minas Gerais, 385</t>
  </si>
  <si>
    <t>Rua Firman Neto, 201</t>
  </si>
  <si>
    <t>SIM</t>
  </si>
  <si>
    <t>Rua Harpia, 275</t>
  </si>
  <si>
    <t>Av. Edelina Meneghel Rando, 351</t>
  </si>
  <si>
    <t>Rua Domingos Vilas, 1034</t>
  </si>
  <si>
    <t>Av. Brasil, 138</t>
  </si>
  <si>
    <t>Rua Presidente Castelo Branco, 210</t>
  </si>
  <si>
    <t>Rua Don Fernando Taddey, 1288</t>
  </si>
  <si>
    <t>Rua Professor João Cândido, 635</t>
  </si>
  <si>
    <t>Rua Visconde de Mauá, 161</t>
  </si>
  <si>
    <t>Av. Expedicionários, 159</t>
  </si>
  <si>
    <t>Rua Rui Barbosa, 174</t>
  </si>
  <si>
    <t>Av. Duque de Caxias, 1135</t>
  </si>
  <si>
    <t>PONTA GROSSA</t>
  </si>
  <si>
    <t>Rua Rui Barbosa, 379</t>
  </si>
  <si>
    <t>Av. Presidente Tancredo Neves, 1555</t>
  </si>
  <si>
    <t>Rua Quinze de Novembro, 3337</t>
  </si>
  <si>
    <t>Av. Santos Dumont, 2255</t>
  </si>
  <si>
    <t>Rua Lauro Ferreira Caldas, 145</t>
  </si>
  <si>
    <t>Rua Rosalvo Petrechen, 537</t>
  </si>
  <si>
    <t>Rua Leopoldo Voigt, 106</t>
  </si>
  <si>
    <t>Rua Lécia Ucrainka, 367</t>
  </si>
  <si>
    <t>Rua Santo Antônio, 839</t>
  </si>
  <si>
    <t>Av. Antônio Cunha, 507</t>
  </si>
  <si>
    <t>Rua Ondina Bueno Siqueira, 220</t>
  </si>
  <si>
    <t>PLANILHA DE COMPOSIÇÃO DAS TAXAS DE BONIFICAÇÃO E DESPESAS INDIRETAS (BDI)</t>
  </si>
  <si>
    <t>Fórmula utilizada no Acórdão TCU 2622/2013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</si>
  <si>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</si>
  <si>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</si>
  <si>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</si>
  <si>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</si>
  <si>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</si>
  <si>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</si>
  <si>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</si>
  <si>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</si>
  <si>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</si>
  <si>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</si>
  <si>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</si>
  <si>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</si>
  <si>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</si>
  <si>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</si>
  <si>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</si>
  <si>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</si>
  <si>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</si>
  <si>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</si>
  <si>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</si>
  <si>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</si>
  <si>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PIS</t>
  </si>
  <si>
    <t>COFINS</t>
  </si>
  <si>
    <t>CPRB</t>
  </si>
  <si>
    <t>BDI CALCULADO</t>
  </si>
  <si>
    <t>BDI ADOTADO</t>
  </si>
  <si>
    <t>ESTIMATIVA DE COMPOSIÇÃO DA TAXA DE BDI PARA EQUIPAMENTOS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</si>
</sst>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 R$ &quot;* #,##0.00\ ;&quot;-R$ &quot;* #,##0.00\ ;&quot; R$ &quot;* \-#\ ;@\ "/>
    <numFmt numFmtId="165" formatCode="[$R$-416]\ #,##0.00;[Red]\-[$R$-416]\ #,##0.00"/>
    <numFmt numFmtId="166" formatCode="0.0000%"/>
    <numFmt numFmtId="167" formatCode="#,##0.00\ ;[Red]\(#,##0.00\)"/>
    <numFmt numFmtId="168" formatCode="#,##0.0"/>
    <numFmt numFmtId="169" formatCode="mm/yy"/>
    <numFmt numFmtId="170" formatCode="&quot;R$ &quot;#,##0.00"/>
    <numFmt numFmtId="171" formatCode="d/m/yyyy"/>
    <numFmt numFmtId="172" formatCode="&quot;R$ &quot;#,##0.00;[Red]&quot;-R$ &quot;#,##0.00"/>
    <numFmt numFmtId="173" formatCode="&quot;R$&quot;\ #,##0.00"/>
    <numFmt numFmtId="174" formatCode="#,##0;[Red]\(#,##0\)"/>
  </numFmts>
  <fonts count="31">
    <font>
      <sz val="11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8000"/>
      <name val="Calibri"/>
      <family val="2"/>
      <charset val="1"/>
    </font>
    <font>
      <b/>
      <sz val="8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i/>
      <sz val="10"/>
      <name val="Arial"/>
      <family val="2"/>
      <charset val="1"/>
    </font>
    <font>
      <b/>
      <sz val="11"/>
      <name val="Arial"/>
      <family val="2"/>
      <charset val="1"/>
    </font>
    <font>
      <sz val="10"/>
      <color rgb="FF000000"/>
      <name val="Times New Roman"/>
      <family val="1"/>
      <charset val="1"/>
    </font>
    <font>
      <b/>
      <sz val="11"/>
      <name val="Arial"/>
      <family val="1"/>
      <charset val="1"/>
    </font>
    <font>
      <b/>
      <sz val="10"/>
      <name val="Arial"/>
      <family val="1"/>
      <charset val="1"/>
    </font>
    <font>
      <sz val="10"/>
      <name val="Arial"/>
      <family val="1"/>
      <charset val="1"/>
    </font>
    <font>
      <b/>
      <sz val="10"/>
      <color rgb="FF000000"/>
      <name val="Arial"/>
      <family val="1"/>
      <charset val="1"/>
    </font>
    <font>
      <sz val="10"/>
      <color rgb="FF000000"/>
      <name val="Arial"/>
      <family val="1"/>
      <charset val="1"/>
    </font>
    <font>
      <vertAlign val="subscript"/>
      <sz val="10"/>
      <name val="Arial"/>
      <family val="2"/>
      <charset val="1"/>
    </font>
    <font>
      <sz val="10"/>
      <color rgb="FF000000"/>
      <name val="Arial;Arial"/>
      <family val="2"/>
      <charset val="1"/>
    </font>
    <font>
      <sz val="11"/>
      <name val="Arial"/>
      <family val="2"/>
      <charset val="1"/>
    </font>
    <font>
      <sz val="10"/>
      <name val="Times New Roman"/>
      <family val="1"/>
      <charset val="1"/>
    </font>
    <font>
      <sz val="12"/>
      <color rgb="FF000000"/>
      <name val="Arial"/>
      <family val="2"/>
      <charset val="1"/>
    </font>
    <font>
      <b/>
      <sz val="13"/>
      <name val="Arial"/>
      <family val="2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"/>
      <family val="2"/>
    </font>
    <font>
      <sz val="12"/>
      <name val="Arial"/>
      <family val="2"/>
      <charset val="1"/>
    </font>
    <font>
      <sz val="10"/>
      <name val="Arial"/>
      <family val="2"/>
    </font>
    <font>
      <sz val="1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CCFFCC"/>
        <bgColor rgb="FFEDEDED"/>
      </patternFill>
    </fill>
    <fill>
      <patternFill patternType="solid">
        <fgColor rgb="FFD9D9D9"/>
        <bgColor rgb="FFDCDADA"/>
      </patternFill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CCCCCC"/>
        <bgColor rgb="FFD9D9D9"/>
      </patternFill>
    </fill>
    <fill>
      <patternFill patternType="solid">
        <fgColor rgb="FFFFFFFF"/>
        <bgColor rgb="FFF2F2F2"/>
      </patternFill>
    </fill>
    <fill>
      <patternFill patternType="solid">
        <fgColor theme="2" tint="-4.9989318521683403E-2"/>
        <bgColor rgb="FFD9D9D9"/>
      </patternFill>
    </fill>
    <fill>
      <patternFill patternType="solid">
        <fgColor rgb="FFF2F2F2"/>
        <bgColor rgb="FFEEEEEE"/>
      </patternFill>
    </fill>
    <fill>
      <patternFill patternType="solid">
        <fgColor rgb="FFFFFFFF"/>
        <bgColor rgb="FFEEEEEE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164" fontId="24" fillId="0" borderId="0" applyBorder="0" applyProtection="0"/>
    <xf numFmtId="9" fontId="2" fillId="0" borderId="0" applyBorder="0" applyProtection="0"/>
    <xf numFmtId="164" fontId="24" fillId="0" borderId="0" applyBorder="0" applyProtection="0"/>
    <xf numFmtId="0" fontId="1" fillId="0" borderId="0"/>
    <xf numFmtId="0" fontId="24" fillId="0" borderId="0"/>
    <xf numFmtId="0" fontId="2" fillId="0" borderId="0"/>
    <xf numFmtId="9" fontId="1" fillId="0" borderId="0" applyBorder="0" applyProtection="0"/>
    <xf numFmtId="0" fontId="3" fillId="2" borderId="0"/>
    <xf numFmtId="0" fontId="3" fillId="2" borderId="0"/>
  </cellStyleXfs>
  <cellXfs count="258">
    <xf numFmtId="0" fontId="0" fillId="0" borderId="0" xfId="0"/>
    <xf numFmtId="2" fontId="8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165" fontId="9" fillId="5" borderId="1" xfId="0" applyNumberFormat="1" applyFont="1" applyFill="1" applyBorder="1" applyAlignment="1">
      <alignment horizontal="center" vertical="center" wrapText="1"/>
    </xf>
    <xf numFmtId="166" fontId="9" fillId="5" borderId="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10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0" fontId="9" fillId="0" borderId="0" xfId="0" applyFont="1"/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167" fontId="7" fillId="0" borderId="1" xfId="0" applyNumberFormat="1" applyFont="1" applyBorder="1" applyAlignment="1">
      <alignment horizontal="left" vertical="center" wrapText="1"/>
    </xf>
    <xf numFmtId="167" fontId="7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7" fontId="7" fillId="0" borderId="0" xfId="0" applyNumberFormat="1" applyFont="1" applyAlignment="1">
      <alignment vertical="center" wrapText="1"/>
    </xf>
    <xf numFmtId="10" fontId="7" fillId="0" borderId="1" xfId="0" applyNumberFormat="1" applyFont="1" applyBorder="1" applyAlignment="1">
      <alignment horizontal="center" vertical="center"/>
    </xf>
    <xf numFmtId="2" fontId="7" fillId="0" borderId="0" xfId="0" applyNumberFormat="1" applyFont="1" applyAlignment="1">
      <alignment vertical="center"/>
    </xf>
    <xf numFmtId="2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center" vertical="center"/>
    </xf>
    <xf numFmtId="2" fontId="8" fillId="4" borderId="1" xfId="0" applyNumberFormat="1" applyFont="1" applyFill="1" applyBorder="1" applyAlignment="1">
      <alignment vertical="center"/>
    </xf>
    <xf numFmtId="0" fontId="7" fillId="0" borderId="1" xfId="5" applyFont="1" applyBorder="1" applyAlignment="1">
      <alignment horizontal="left" vertical="center" wrapText="1"/>
    </xf>
    <xf numFmtId="0" fontId="8" fillId="4" borderId="5" xfId="0" applyFont="1" applyFill="1" applyBorder="1" applyAlignment="1">
      <alignment vertical="center" wrapText="1"/>
    </xf>
    <xf numFmtId="167" fontId="8" fillId="4" borderId="1" xfId="0" applyNumberFormat="1" applyFont="1" applyFill="1" applyBorder="1" applyAlignment="1">
      <alignment horizontal="right" vertical="center" wrapText="1"/>
    </xf>
    <xf numFmtId="167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right" vertical="center" wrapText="1"/>
    </xf>
    <xf numFmtId="167" fontId="8" fillId="0" borderId="0" xfId="0" applyNumberFormat="1" applyFont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4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2" fontId="7" fillId="0" borderId="0" xfId="0" applyNumberFormat="1" applyFont="1" applyAlignment="1">
      <alignment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164" fontId="8" fillId="0" borderId="1" xfId="3" applyFont="1" applyBorder="1" applyAlignment="1" applyProtection="1">
      <alignment horizontal="center" vertical="center"/>
    </xf>
    <xf numFmtId="4" fontId="8" fillId="0" borderId="2" xfId="5" applyNumberFormat="1" applyFont="1" applyBorder="1" applyAlignment="1">
      <alignment horizontal="center" vertical="center"/>
    </xf>
    <xf numFmtId="168" fontId="8" fillId="4" borderId="1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4" fontId="8" fillId="4" borderId="5" xfId="0" applyNumberFormat="1" applyFont="1" applyFill="1" applyBorder="1" applyAlignment="1">
      <alignment horizontal="center" vertical="center"/>
    </xf>
    <xf numFmtId="164" fontId="8" fillId="4" borderId="1" xfId="1" applyFont="1" applyFill="1" applyBorder="1" applyAlignment="1" applyProtection="1">
      <alignment horizontal="center" vertical="center"/>
    </xf>
    <xf numFmtId="1" fontId="8" fillId="4" borderId="1" xfId="1" applyNumberFormat="1" applyFont="1" applyFill="1" applyBorder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165" fontId="7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vertical="center"/>
    </xf>
    <xf numFmtId="165" fontId="7" fillId="0" borderId="0" xfId="0" applyNumberFormat="1" applyFont="1" applyAlignment="1">
      <alignment horizontal="left" vertical="center"/>
    </xf>
    <xf numFmtId="0" fontId="8" fillId="0" borderId="7" xfId="0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4" fillId="7" borderId="0" xfId="8" applyFont="1" applyFill="1" applyAlignment="1">
      <alignment horizontal="left" vertical="top" wrapText="1"/>
    </xf>
    <xf numFmtId="165" fontId="15" fillId="7" borderId="0" xfId="8" applyNumberFormat="1" applyFont="1" applyFill="1" applyAlignment="1">
      <alignment horizontal="left" vertical="top" wrapText="1"/>
    </xf>
    <xf numFmtId="0" fontId="13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center" vertical="center" wrapText="1"/>
    </xf>
    <xf numFmtId="0" fontId="17" fillId="7" borderId="1" xfId="8" applyFont="1" applyFill="1" applyBorder="1" applyAlignment="1">
      <alignment horizontal="left" vertical="center" wrapText="1"/>
    </xf>
    <xf numFmtId="2" fontId="17" fillId="7" borderId="1" xfId="8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6" applyAlignment="1">
      <alignment vertical="center"/>
    </xf>
    <xf numFmtId="0" fontId="9" fillId="8" borderId="1" xfId="6" applyFont="1" applyFill="1" applyBorder="1" applyAlignment="1">
      <alignment horizontal="center" vertical="center" wrapText="1"/>
    </xf>
    <xf numFmtId="0" fontId="2" fillId="0" borderId="1" xfId="6" applyBorder="1" applyAlignment="1">
      <alignment vertical="center"/>
    </xf>
    <xf numFmtId="171" fontId="2" fillId="7" borderId="1" xfId="6" applyNumberFormat="1" applyFill="1" applyBorder="1" applyAlignment="1">
      <alignment horizontal="center" vertical="center" wrapText="1"/>
    </xf>
    <xf numFmtId="165" fontId="2" fillId="7" borderId="1" xfId="6" applyNumberFormat="1" applyFill="1" applyBorder="1" applyAlignment="1">
      <alignment horizontal="center" vertical="center" wrapText="1"/>
    </xf>
    <xf numFmtId="0" fontId="2" fillId="3" borderId="1" xfId="6" applyFill="1" applyBorder="1" applyAlignment="1">
      <alignment vertical="center"/>
    </xf>
    <xf numFmtId="165" fontId="2" fillId="3" borderId="1" xfId="6" applyNumberFormat="1" applyFill="1" applyBorder="1" applyAlignment="1">
      <alignment horizontal="center" vertical="center" wrapText="1"/>
    </xf>
    <xf numFmtId="0" fontId="9" fillId="0" borderId="1" xfId="6" applyFont="1" applyBorder="1" applyAlignment="1">
      <alignment vertical="center" wrapText="1"/>
    </xf>
    <xf numFmtId="0" fontId="2" fillId="0" borderId="1" xfId="6" applyBorder="1" applyAlignment="1">
      <alignment vertical="center" wrapText="1"/>
    </xf>
    <xf numFmtId="10" fontId="2" fillId="0" borderId="1" xfId="6" applyNumberFormat="1" applyBorder="1" applyAlignment="1">
      <alignment vertical="center"/>
    </xf>
    <xf numFmtId="0" fontId="9" fillId="0" borderId="1" xfId="6" applyFont="1" applyBorder="1" applyAlignment="1">
      <alignment vertical="center"/>
    </xf>
    <xf numFmtId="165" fontId="2" fillId="0" borderId="1" xfId="6" applyNumberFormat="1" applyBorder="1" applyAlignment="1">
      <alignment vertical="center"/>
    </xf>
    <xf numFmtId="165" fontId="9" fillId="8" borderId="1" xfId="6" applyNumberFormat="1" applyFont="1" applyFill="1" applyBorder="1" applyAlignment="1">
      <alignment vertical="center"/>
    </xf>
    <xf numFmtId="0" fontId="7" fillId="0" borderId="0" xfId="0" applyFont="1" applyAlignment="1">
      <alignment horizontal="left" wrapText="1"/>
    </xf>
    <xf numFmtId="170" fontId="17" fillId="7" borderId="1" xfId="8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9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vertical="center"/>
    </xf>
    <xf numFmtId="165" fontId="0" fillId="3" borderId="1" xfId="0" applyNumberForma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0" fontId="0" fillId="0" borderId="1" xfId="0" applyNumberFormat="1" applyBorder="1"/>
    <xf numFmtId="0" fontId="9" fillId="0" borderId="1" xfId="0" applyFon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2" fillId="0" borderId="1" xfId="0" applyFont="1" applyBorder="1" applyAlignment="1">
      <alignment vertical="center"/>
    </xf>
    <xf numFmtId="165" fontId="9" fillId="9" borderId="1" xfId="0" applyNumberFormat="1" applyFont="1" applyFill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Alignment="1">
      <alignment wrapText="1"/>
    </xf>
    <xf numFmtId="0" fontId="20" fillId="0" borderId="0" xfId="0" applyFont="1"/>
    <xf numFmtId="0" fontId="15" fillId="7" borderId="1" xfId="8" applyFont="1" applyFill="1" applyBorder="1" applyAlignment="1">
      <alignment horizontal="center" vertical="center" wrapText="1"/>
    </xf>
    <xf numFmtId="2" fontId="15" fillId="7" borderId="1" xfId="8" applyNumberFormat="1" applyFont="1" applyFill="1" applyBorder="1" applyAlignment="1">
      <alignment horizontal="center" vertical="center" wrapText="1"/>
    </xf>
    <xf numFmtId="170" fontId="15" fillId="7" borderId="1" xfId="8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wrapText="1"/>
    </xf>
    <xf numFmtId="0" fontId="22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8" applyFont="1" applyFill="1" applyBorder="1" applyAlignment="1">
      <alignment vertical="center" wrapText="1"/>
    </xf>
    <xf numFmtId="10" fontId="2" fillId="0" borderId="1" xfId="2" applyNumberForma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vertical="center" wrapText="1"/>
    </xf>
    <xf numFmtId="0" fontId="0" fillId="0" borderId="8" xfId="0" applyBorder="1"/>
    <xf numFmtId="0" fontId="9" fillId="0" borderId="6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10" fontId="8" fillId="4" borderId="7" xfId="0" applyNumberFormat="1" applyFont="1" applyFill="1" applyBorder="1" applyAlignment="1">
      <alignment horizontal="center" vertical="top" wrapText="1"/>
    </xf>
    <xf numFmtId="10" fontId="8" fillId="4" borderId="4" xfId="0" applyNumberFormat="1" applyFont="1" applyFill="1" applyBorder="1" applyAlignment="1">
      <alignment horizontal="center" vertical="top" wrapText="1"/>
    </xf>
    <xf numFmtId="10" fontId="8" fillId="4" borderId="1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0" fontId="8" fillId="4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7" fontId="25" fillId="0" borderId="1" xfId="0" applyNumberFormat="1" applyFont="1" applyBorder="1" applyAlignment="1">
      <alignment horizontal="left" vertical="center" wrapText="1"/>
    </xf>
    <xf numFmtId="0" fontId="25" fillId="0" borderId="1" xfId="5" applyFont="1" applyBorder="1" applyAlignment="1">
      <alignment horizontal="left" vertical="center" wrapText="1"/>
    </xf>
    <xf numFmtId="3" fontId="7" fillId="0" borderId="1" xfId="5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173" fontId="17" fillId="7" borderId="1" xfId="8" applyNumberFormat="1" applyFont="1" applyFill="1" applyBorder="1" applyAlignment="1">
      <alignment horizontal="center" vertical="center" wrapText="1"/>
    </xf>
    <xf numFmtId="173" fontId="15" fillId="7" borderId="1" xfId="8" applyNumberFormat="1" applyFont="1" applyFill="1" applyBorder="1" applyAlignment="1">
      <alignment horizontal="center" vertical="center" wrapText="1"/>
    </xf>
    <xf numFmtId="173" fontId="17" fillId="0" borderId="1" xfId="8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172" fontId="2" fillId="7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2" fontId="8" fillId="4" borderId="1" xfId="1" applyNumberFormat="1" applyFont="1" applyFill="1" applyBorder="1" applyAlignment="1" applyProtection="1">
      <alignment horizontal="center" vertical="center"/>
    </xf>
    <xf numFmtId="0" fontId="2" fillId="10" borderId="1" xfId="8" applyFont="1" applyFill="1" applyBorder="1" applyAlignment="1">
      <alignment vertical="center" wrapText="1"/>
    </xf>
    <xf numFmtId="168" fontId="8" fillId="0" borderId="2" xfId="5" applyNumberFormat="1" applyFont="1" applyBorder="1" applyAlignment="1">
      <alignment horizontal="center" vertical="center"/>
    </xf>
    <xf numFmtId="164" fontId="8" fillId="0" borderId="2" xfId="3" applyFont="1" applyBorder="1" applyAlignment="1" applyProtection="1">
      <alignment horizontal="center" vertical="center"/>
    </xf>
    <xf numFmtId="174" fontId="7" fillId="0" borderId="1" xfId="0" applyNumberFormat="1" applyFont="1" applyBorder="1" applyAlignment="1">
      <alignment horizontal="center" vertical="center" wrapText="1"/>
    </xf>
    <xf numFmtId="173" fontId="8" fillId="5" borderId="1" xfId="0" applyNumberFormat="1" applyFont="1" applyFill="1" applyBorder="1" applyAlignment="1">
      <alignment horizontal="center" vertical="center" wrapText="1"/>
    </xf>
    <xf numFmtId="167" fontId="7" fillId="0" borderId="1" xfId="0" applyNumberFormat="1" applyFont="1" applyBorder="1" applyAlignment="1">
      <alignment horizontal="justify" vertical="center" wrapText="1"/>
    </xf>
    <xf numFmtId="164" fontId="8" fillId="0" borderId="4" xfId="3" applyFont="1" applyBorder="1" applyAlignment="1" applyProtection="1">
      <alignment horizontal="center" vertical="center"/>
    </xf>
    <xf numFmtId="0" fontId="7" fillId="0" borderId="2" xfId="5" applyFont="1" applyBorder="1" applyAlignment="1">
      <alignment horizontal="center" vertical="center"/>
    </xf>
    <xf numFmtId="164" fontId="8" fillId="0" borderId="2" xfId="3" applyFont="1" applyBorder="1" applyAlignment="1" applyProtection="1">
      <alignment vertical="center"/>
    </xf>
    <xf numFmtId="164" fontId="8" fillId="0" borderId="1" xfId="3" applyFont="1" applyBorder="1" applyAlignment="1" applyProtection="1">
      <alignment vertical="center"/>
    </xf>
    <xf numFmtId="164" fontId="8" fillId="0" borderId="4" xfId="3" applyFont="1" applyBorder="1" applyAlignment="1" applyProtection="1">
      <alignment vertical="center"/>
    </xf>
    <xf numFmtId="14" fontId="2" fillId="7" borderId="1" xfId="6" applyNumberFormat="1" applyFill="1" applyBorder="1" applyAlignment="1">
      <alignment horizontal="center" vertical="center" wrapText="1"/>
    </xf>
    <xf numFmtId="0" fontId="27" fillId="0" borderId="1" xfId="8" applyFont="1" applyFill="1" applyBorder="1" applyAlignment="1">
      <alignment horizontal="center" vertical="center" wrapText="1"/>
    </xf>
    <xf numFmtId="173" fontId="27" fillId="0" borderId="1" xfId="8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/>
    </xf>
    <xf numFmtId="167" fontId="8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 wrapText="1"/>
    </xf>
    <xf numFmtId="2" fontId="9" fillId="4" borderId="2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11" fillId="3" borderId="1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4" fontId="8" fillId="0" borderId="1" xfId="5" applyNumberFormat="1" applyFont="1" applyBorder="1" applyAlignment="1">
      <alignment horizontal="center" vertical="center"/>
    </xf>
    <xf numFmtId="3" fontId="8" fillId="0" borderId="1" xfId="5" applyNumberFormat="1" applyFont="1" applyBorder="1" applyAlignment="1">
      <alignment horizontal="center" vertical="center"/>
    </xf>
    <xf numFmtId="168" fontId="8" fillId="0" borderId="1" xfId="5" applyNumberFormat="1" applyFont="1" applyBorder="1" applyAlignment="1">
      <alignment horizontal="center" vertical="center"/>
    </xf>
    <xf numFmtId="3" fontId="7" fillId="0" borderId="1" xfId="5" applyNumberFormat="1" applyFont="1" applyBorder="1" applyAlignment="1">
      <alignment horizontal="center" vertical="center"/>
    </xf>
    <xf numFmtId="0" fontId="7" fillId="0" borderId="1" xfId="5" applyFont="1" applyBorder="1" applyAlignment="1">
      <alignment horizontal="center" vertical="center"/>
    </xf>
    <xf numFmtId="168" fontId="7" fillId="0" borderId="1" xfId="5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165" fontId="7" fillId="0" borderId="1" xfId="5" applyNumberFormat="1" applyFont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/>
    </xf>
    <xf numFmtId="164" fontId="8" fillId="0" borderId="1" xfId="3" applyFont="1" applyBorder="1" applyAlignment="1" applyProtection="1">
      <alignment horizontal="center" vertical="center"/>
    </xf>
    <xf numFmtId="0" fontId="14" fillId="7" borderId="1" xfId="8" applyFont="1" applyFill="1" applyBorder="1" applyAlignment="1">
      <alignment horizontal="left" vertical="center" wrapText="1"/>
    </xf>
    <xf numFmtId="170" fontId="16" fillId="0" borderId="1" xfId="8" applyNumberFormat="1" applyFont="1" applyFill="1" applyBorder="1" applyAlignment="1">
      <alignment horizontal="left" vertical="center" wrapText="1"/>
    </xf>
    <xf numFmtId="0" fontId="15" fillId="7" borderId="1" xfId="8" applyFont="1" applyFill="1" applyBorder="1" applyAlignment="1">
      <alignment horizontal="left" vertical="center" wrapText="1"/>
    </xf>
    <xf numFmtId="0" fontId="15" fillId="0" borderId="1" xfId="8" applyFont="1" applyFill="1" applyBorder="1" applyAlignment="1">
      <alignment horizontal="left" vertical="center" wrapText="1"/>
    </xf>
    <xf numFmtId="169" fontId="15" fillId="7" borderId="1" xfId="8" applyNumberFormat="1" applyFont="1" applyFill="1" applyBorder="1" applyAlignment="1">
      <alignment horizontal="left" vertical="center" wrapText="1"/>
    </xf>
    <xf numFmtId="165" fontId="16" fillId="0" borderId="1" xfId="8" applyNumberFormat="1" applyFont="1" applyFill="1" applyBorder="1" applyAlignment="1">
      <alignment horizontal="left" vertical="center"/>
    </xf>
    <xf numFmtId="0" fontId="13" fillId="3" borderId="1" xfId="8" applyFont="1" applyFill="1" applyBorder="1" applyAlignment="1">
      <alignment horizontal="center" vertical="center" wrapText="1"/>
    </xf>
    <xf numFmtId="49" fontId="15" fillId="7" borderId="1" xfId="8" applyNumberFormat="1" applyFont="1" applyFill="1" applyBorder="1" applyAlignment="1">
      <alignment horizontal="left" vertical="center" wrapText="1"/>
    </xf>
    <xf numFmtId="0" fontId="13" fillId="3" borderId="2" xfId="8" applyFont="1" applyFill="1" applyBorder="1" applyAlignment="1">
      <alignment horizontal="center" vertical="center" wrapText="1"/>
    </xf>
    <xf numFmtId="0" fontId="27" fillId="0" borderId="0" xfId="6" applyFont="1" applyAlignment="1">
      <alignment horizontal="left" vertical="center" wrapText="1"/>
    </xf>
    <xf numFmtId="0" fontId="2" fillId="0" borderId="0" xfId="6" applyAlignment="1">
      <alignment horizontal="left" vertical="center" wrapText="1"/>
    </xf>
    <xf numFmtId="0" fontId="27" fillId="0" borderId="1" xfId="0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14" fillId="7" borderId="1" xfId="8" applyFont="1" applyFill="1" applyBorder="1" applyAlignment="1">
      <alignment horizontal="left" vertical="top" wrapText="1"/>
    </xf>
    <xf numFmtId="0" fontId="15" fillId="7" borderId="1" xfId="8" applyFont="1" applyFill="1" applyBorder="1" applyAlignment="1">
      <alignment horizontal="left" vertical="top" wrapText="1"/>
    </xf>
    <xf numFmtId="165" fontId="16" fillId="7" borderId="1" xfId="8" applyNumberFormat="1" applyFont="1" applyFill="1" applyBorder="1" applyAlignment="1">
      <alignment horizontal="left" vertical="center"/>
    </xf>
    <xf numFmtId="49" fontId="15" fillId="7" borderId="1" xfId="8" applyNumberFormat="1" applyFont="1" applyFill="1" applyBorder="1" applyAlignment="1">
      <alignment horizontal="left" vertical="top" wrapText="1"/>
    </xf>
    <xf numFmtId="0" fontId="20" fillId="0" borderId="0" xfId="0" applyFont="1" applyAlignment="1">
      <alignment horizontal="left" vertical="center" wrapText="1"/>
    </xf>
    <xf numFmtId="49" fontId="29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0">
    <cellStyle name="Moeda" xfId="1" builtinId="4"/>
    <cellStyle name="Moeda 2" xfId="3" xr:uid="{00000000-0005-0000-0000-000006000000}"/>
    <cellStyle name="Normal" xfId="0" builtinId="0"/>
    <cellStyle name="Normal 2" xfId="4" xr:uid="{00000000-0005-0000-0000-000007000000}"/>
    <cellStyle name="Normal 3" xfId="5" xr:uid="{00000000-0005-0000-0000-000008000000}"/>
    <cellStyle name="Normal 4" xfId="6" xr:uid="{00000000-0005-0000-0000-000009000000}"/>
    <cellStyle name="Porcentagem" xfId="2" builtinId="5"/>
    <cellStyle name="Porcentagem 2" xfId="7" xr:uid="{00000000-0005-0000-0000-00000A000000}"/>
    <cellStyle name="TableStyleLight1" xfId="8" xr:uid="{00000000-0005-0000-0000-00000B000000}"/>
    <cellStyle name="TableStyleLight1 2" xfId="9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DED"/>
      <rgbColor rgb="FFCCFFCC"/>
      <rgbColor rgb="FFFFFF99"/>
      <rgbColor rgb="FF99CCFF"/>
      <rgbColor rgb="FFFF99CC"/>
      <rgbColor rgb="FFCC99FF"/>
      <rgbColor rgb="FFDCDADA"/>
      <rgbColor rgb="FF3366FF"/>
      <rgbColor rgb="FF33CCCC"/>
      <rgbColor rgb="FF99CC00"/>
      <rgbColor rgb="FFFFCC00"/>
      <rgbColor rgb="FFFF9900"/>
      <rgbColor rgb="FFFF6600"/>
      <rgbColor rgb="FF66669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1579320</xdr:colOff>
      <xdr:row>1</xdr:row>
      <xdr:rowOff>97920</xdr:rowOff>
    </xdr:from>
    <xdr:to>
      <xdr:col>5</xdr:col>
      <xdr:colOff>47520</xdr:colOff>
      <xdr:row>1</xdr:row>
      <xdr:rowOff>1177200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441160" y="288360"/>
          <a:ext cx="2641320" cy="1079280"/>
        </a:xfrm>
        <a:prstGeom prst="rect">
          <a:avLst/>
        </a:prstGeom>
        <a:noFill/>
        <a:ln w="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oneCell">
    <xdr:from>
      <xdr:col>2</xdr:col>
      <xdr:colOff>2095560</xdr:colOff>
      <xdr:row>1</xdr:row>
      <xdr:rowOff>207720</xdr:rowOff>
    </xdr:from>
    <xdr:to>
      <xdr:col>4</xdr:col>
      <xdr:colOff>381600</xdr:colOff>
      <xdr:row>1</xdr:row>
      <xdr:rowOff>1148400</xdr:rowOff>
    </xdr:to>
    <xdr:pic>
      <xdr:nvPicPr>
        <xdr:cNvPr id="3" name="Imagem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957400" y="398160"/>
          <a:ext cx="2023560" cy="9406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87840</xdr:colOff>
      <xdr:row>25</xdr:row>
      <xdr:rowOff>120600</xdr:rowOff>
    </xdr:from>
    <xdr:to>
      <xdr:col>2</xdr:col>
      <xdr:colOff>2299680</xdr:colOff>
      <xdr:row>29</xdr:row>
      <xdr:rowOff>87841</xdr:rowOff>
    </xdr:to>
    <xdr:pic>
      <xdr:nvPicPr>
        <xdr:cNvPr id="3" name="Figura 7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/>
      </xdr:nvPicPr>
      <xdr:blipFill>
        <a:blip xmlns:r="http://schemas.openxmlformats.org/officeDocument/2006/relationships" r:embed="rId1"/>
        <a:srcRect l="17768" t="51115" r="20992" b="38316"/>
        <a:stretch/>
      </xdr:blipFill>
      <xdr:spPr>
        <a:xfrm>
          <a:off x="495000" y="6730920"/>
          <a:ext cx="6453360" cy="691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B1:IT65541"/>
  <sheetViews>
    <sheetView showGridLines="0" tabSelected="1" zoomScaleNormal="100" workbookViewId="0">
      <selection activeCell="K4" sqref="K4"/>
    </sheetView>
  </sheetViews>
  <sheetFormatPr defaultColWidth="10.5" defaultRowHeight="14.25"/>
  <cols>
    <col min="1" max="1" width="5.625" customWidth="1"/>
    <col min="2" max="2" width="5.5" style="3" customWidth="1"/>
    <col min="3" max="3" width="42.125" style="3" customWidth="1"/>
    <col min="4" max="4" width="6.125" style="3" customWidth="1"/>
    <col min="5" max="5" width="5.625" style="3" customWidth="1"/>
    <col min="6" max="6" width="15.25" style="3" customWidth="1"/>
    <col min="7" max="7" width="20" style="3" customWidth="1"/>
    <col min="8" max="254" width="10.625" style="3" customWidth="1"/>
  </cols>
  <sheetData>
    <row r="1" spans="2:7" ht="15" customHeight="1"/>
    <row r="2" spans="2:7" ht="103.5" customHeight="1">
      <c r="B2" s="192"/>
      <c r="C2" s="192"/>
      <c r="D2" s="192"/>
      <c r="E2" s="192"/>
      <c r="F2" s="192"/>
      <c r="G2" s="192"/>
    </row>
    <row r="3" spans="2:7" ht="18" customHeight="1">
      <c r="B3" s="4"/>
      <c r="C3" s="4"/>
      <c r="D3" s="4"/>
      <c r="E3" s="4"/>
      <c r="F3" s="4"/>
      <c r="G3" s="4"/>
    </row>
    <row r="4" spans="2:7" ht="18" customHeight="1">
      <c r="B4" s="193" t="s">
        <v>0</v>
      </c>
      <c r="C4" s="193"/>
      <c r="D4" s="193"/>
      <c r="E4" s="193"/>
      <c r="F4" s="193"/>
      <c r="G4" s="193"/>
    </row>
    <row r="5" spans="2:7" ht="18" customHeight="1">
      <c r="B5" s="4"/>
      <c r="C5" s="4"/>
      <c r="D5" s="4"/>
      <c r="E5" s="4"/>
      <c r="F5" s="4"/>
      <c r="G5" s="4"/>
    </row>
    <row r="6" spans="2:7" ht="19.5" customHeight="1">
      <c r="B6" s="194" t="s">
        <v>1</v>
      </c>
      <c r="C6" s="194"/>
      <c r="D6" s="194"/>
      <c r="E6" s="194"/>
      <c r="F6" s="194"/>
      <c r="G6" s="194"/>
    </row>
    <row r="7" spans="2:7" ht="19.5" customHeight="1">
      <c r="B7" s="195" t="s">
        <v>2</v>
      </c>
      <c r="C7" s="195"/>
      <c r="D7" s="195"/>
      <c r="E7" s="195"/>
      <c r="F7" s="195"/>
      <c r="G7" s="195"/>
    </row>
    <row r="8" spans="2:7" ht="19.5" customHeight="1">
      <c r="B8" s="196" t="s">
        <v>3</v>
      </c>
      <c r="C8" s="196"/>
      <c r="D8" s="196"/>
      <c r="E8" s="196"/>
      <c r="F8" s="196"/>
      <c r="G8" s="196"/>
    </row>
    <row r="9" spans="2:7" ht="15.75" customHeight="1">
      <c r="B9" s="4"/>
      <c r="C9" s="4"/>
      <c r="D9" s="4"/>
      <c r="E9" s="4"/>
      <c r="F9" s="4"/>
      <c r="G9" s="4"/>
    </row>
    <row r="10" spans="2:7" ht="42" customHeight="1">
      <c r="B10" s="5" t="s">
        <v>4</v>
      </c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</row>
    <row r="11" spans="2:7" ht="81" customHeight="1">
      <c r="B11" s="6">
        <v>2</v>
      </c>
      <c r="C11" s="7" t="s">
        <v>10</v>
      </c>
      <c r="D11" s="8" t="s">
        <v>11</v>
      </c>
      <c r="E11" s="8">
        <v>24</v>
      </c>
      <c r="F11" s="9">
        <f>ROUND(Resumo!H7,2)</f>
        <v>147651.41</v>
      </c>
      <c r="G11" s="10">
        <f>F11*E11</f>
        <v>3543633.84</v>
      </c>
    </row>
    <row r="12" spans="2:7" ht="42" customHeight="1">
      <c r="B12" s="191" t="s">
        <v>12</v>
      </c>
      <c r="C12" s="191"/>
      <c r="D12" s="191"/>
      <c r="E12" s="191"/>
      <c r="F12" s="191"/>
      <c r="G12" s="191"/>
    </row>
    <row r="65541" ht="12.75" customHeight="1"/>
  </sheetData>
  <mergeCells count="6">
    <mergeCell ref="B12:G12"/>
    <mergeCell ref="B2:G2"/>
    <mergeCell ref="B4:G4"/>
    <mergeCell ref="B6:G6"/>
    <mergeCell ref="B7:G7"/>
    <mergeCell ref="B8:G8"/>
  </mergeCells>
  <printOptions horizont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79998168889431442"/>
  </sheetPr>
  <dimension ref="A1:I21"/>
  <sheetViews>
    <sheetView zoomScaleNormal="100" workbookViewId="0">
      <selection activeCell="N16" sqref="N16"/>
    </sheetView>
  </sheetViews>
  <sheetFormatPr defaultColWidth="8.5" defaultRowHeight="14.25"/>
  <cols>
    <col min="2" max="2" width="4.25" customWidth="1"/>
    <col min="3" max="3" width="16.25" customWidth="1"/>
    <col min="4" max="4" width="59.75" customWidth="1"/>
    <col min="5" max="5" width="11.25" customWidth="1"/>
    <col min="7" max="7" width="11.75" customWidth="1"/>
    <col min="8" max="8" width="11" customWidth="1"/>
    <col min="9" max="9" width="12.625" customWidth="1"/>
  </cols>
  <sheetData>
    <row r="1" spans="1:9" ht="14.25" customHeight="1">
      <c r="A1" s="122"/>
      <c r="B1" s="122"/>
      <c r="C1" s="122"/>
      <c r="D1" s="122"/>
      <c r="E1" s="122"/>
      <c r="F1" s="122"/>
      <c r="G1" s="122"/>
      <c r="H1" s="122"/>
      <c r="I1" s="122"/>
    </row>
    <row r="2" spans="1:9" ht="15" customHeight="1">
      <c r="B2" s="232" t="s">
        <v>193</v>
      </c>
      <c r="C2" s="232"/>
      <c r="D2" s="232"/>
      <c r="E2" s="232"/>
      <c r="F2" s="232"/>
      <c r="G2" s="232"/>
      <c r="H2" s="232"/>
      <c r="I2" s="232"/>
    </row>
    <row r="4" spans="1:9" ht="15" customHeight="1">
      <c r="B4" s="234" t="s">
        <v>194</v>
      </c>
      <c r="C4" s="234"/>
      <c r="D4" s="234"/>
      <c r="E4" s="234"/>
      <c r="F4" s="234"/>
      <c r="G4" s="234"/>
      <c r="H4" s="234"/>
      <c r="I4" s="234"/>
    </row>
    <row r="5" spans="1:9" ht="14.25" customHeight="1">
      <c r="B5" s="239" t="s">
        <v>151</v>
      </c>
      <c r="C5" s="239"/>
      <c r="D5" s="240">
        <v>91677</v>
      </c>
      <c r="E5" s="240"/>
      <c r="F5" s="240"/>
      <c r="G5" s="240"/>
      <c r="H5" s="240"/>
      <c r="I5" s="240"/>
    </row>
    <row r="6" spans="1:9" ht="14.25" customHeight="1">
      <c r="B6" s="239" t="s">
        <v>123</v>
      </c>
      <c r="C6" s="239"/>
      <c r="D6" s="240" t="s">
        <v>195</v>
      </c>
      <c r="E6" s="240"/>
      <c r="F6" s="240"/>
      <c r="G6" s="240"/>
      <c r="H6" s="240"/>
      <c r="I6" s="240"/>
    </row>
    <row r="7" spans="1:9" ht="14.25" customHeight="1">
      <c r="B7" s="239" t="s">
        <v>154</v>
      </c>
      <c r="C7" s="239"/>
      <c r="D7" s="242" t="s">
        <v>155</v>
      </c>
      <c r="E7" s="242"/>
      <c r="F7" s="242"/>
      <c r="G7" s="242"/>
      <c r="H7" s="242"/>
      <c r="I7" s="242"/>
    </row>
    <row r="8" spans="1:9" ht="14.25" customHeight="1">
      <c r="B8" s="239" t="s">
        <v>156</v>
      </c>
      <c r="C8" s="239"/>
      <c r="D8" s="240" t="s">
        <v>157</v>
      </c>
      <c r="E8" s="240"/>
      <c r="F8" s="240"/>
      <c r="G8" s="240"/>
      <c r="H8" s="240"/>
      <c r="I8" s="240"/>
    </row>
    <row r="9" spans="1:9" ht="14.25" customHeight="1">
      <c r="B9" s="239" t="s">
        <v>158</v>
      </c>
      <c r="C9" s="239"/>
      <c r="D9" s="240" t="s">
        <v>196</v>
      </c>
      <c r="E9" s="240"/>
      <c r="F9" s="240"/>
      <c r="G9" s="240"/>
      <c r="H9" s="240"/>
      <c r="I9" s="240"/>
    </row>
    <row r="10" spans="1:9" ht="14.25" customHeight="1">
      <c r="B10" s="239" t="s">
        <v>124</v>
      </c>
      <c r="C10" s="239"/>
      <c r="D10" s="240" t="s">
        <v>167</v>
      </c>
      <c r="E10" s="240"/>
      <c r="F10" s="240"/>
      <c r="G10" s="240"/>
      <c r="H10" s="240"/>
      <c r="I10" s="240"/>
    </row>
    <row r="11" spans="1:9" ht="14.25" customHeight="1">
      <c r="B11" s="226" t="s">
        <v>125</v>
      </c>
      <c r="C11" s="226"/>
      <c r="D11" s="241">
        <f>SUM(I15:I20)</f>
        <v>126.73901785449999</v>
      </c>
      <c r="E11" s="241"/>
      <c r="F11" s="241"/>
      <c r="G11" s="241"/>
      <c r="H11" s="241"/>
      <c r="I11" s="241"/>
    </row>
    <row r="12" spans="1:9">
      <c r="B12" s="102"/>
      <c r="C12" s="102"/>
      <c r="D12" s="103"/>
      <c r="E12" s="103"/>
      <c r="F12" s="103"/>
      <c r="G12" s="103"/>
      <c r="H12" s="103"/>
      <c r="I12" s="103"/>
    </row>
    <row r="13" spans="1:9">
      <c r="B13" s="102"/>
      <c r="C13" s="102"/>
      <c r="D13" s="103"/>
      <c r="E13" s="103"/>
      <c r="F13" s="103"/>
      <c r="G13" s="103"/>
      <c r="H13" s="103"/>
      <c r="I13" s="103"/>
    </row>
    <row r="14" spans="1:9" ht="30">
      <c r="B14" s="104"/>
      <c r="C14" s="104" t="s">
        <v>160</v>
      </c>
      <c r="D14" s="104" t="s">
        <v>123</v>
      </c>
      <c r="E14" s="104" t="s">
        <v>158</v>
      </c>
      <c r="F14" s="104" t="s">
        <v>124</v>
      </c>
      <c r="G14" s="104" t="s">
        <v>161</v>
      </c>
      <c r="H14" s="104" t="s">
        <v>162</v>
      </c>
      <c r="I14" s="104" t="s">
        <v>125</v>
      </c>
    </row>
    <row r="15" spans="1:9" ht="25.5">
      <c r="B15" s="188" t="s">
        <v>163</v>
      </c>
      <c r="C15" s="188" t="s">
        <v>197</v>
      </c>
      <c r="D15" s="188" t="s">
        <v>198</v>
      </c>
      <c r="E15" s="188" t="s">
        <v>199</v>
      </c>
      <c r="F15" s="188" t="s">
        <v>167</v>
      </c>
      <c r="G15" s="189">
        <f>$G$16*0.0341</f>
        <v>4.1037728544999998</v>
      </c>
      <c r="H15" s="107">
        <v>1</v>
      </c>
      <c r="I15" s="123">
        <f t="shared" ref="I15:I20" si="0">G15*H15</f>
        <v>4.1037728544999998</v>
      </c>
    </row>
    <row r="16" spans="1:9">
      <c r="B16" s="105" t="s">
        <v>200</v>
      </c>
      <c r="C16" s="105" t="s">
        <v>201</v>
      </c>
      <c r="D16" s="105" t="s">
        <v>180</v>
      </c>
      <c r="E16" s="105" t="s">
        <v>202</v>
      </c>
      <c r="F16" s="105" t="s">
        <v>167</v>
      </c>
      <c r="G16" s="169">
        <f>'Custo Eng. Eletricista'!C13</f>
        <v>120.34524499999999</v>
      </c>
      <c r="H16" s="107">
        <v>1</v>
      </c>
      <c r="I16" s="123">
        <f t="shared" si="0"/>
        <v>120.34524499999999</v>
      </c>
    </row>
    <row r="17" spans="2:9" ht="25.5">
      <c r="B17" s="105" t="s">
        <v>200</v>
      </c>
      <c r="C17" s="105" t="s">
        <v>203</v>
      </c>
      <c r="D17" s="105" t="s">
        <v>204</v>
      </c>
      <c r="E17" s="105" t="s">
        <v>205</v>
      </c>
      <c r="F17" s="105" t="s">
        <v>167</v>
      </c>
      <c r="G17" s="169">
        <v>1.43</v>
      </c>
      <c r="H17" s="107">
        <v>1</v>
      </c>
      <c r="I17" s="123">
        <f t="shared" si="0"/>
        <v>1.43</v>
      </c>
    </row>
    <row r="18" spans="2:9" ht="25.5">
      <c r="B18" s="105" t="s">
        <v>200</v>
      </c>
      <c r="C18" s="105" t="s">
        <v>206</v>
      </c>
      <c r="D18" s="105" t="s">
        <v>207</v>
      </c>
      <c r="E18" s="105" t="s">
        <v>205</v>
      </c>
      <c r="F18" s="105" t="s">
        <v>167</v>
      </c>
      <c r="G18" s="169">
        <v>0.08</v>
      </c>
      <c r="H18" s="107">
        <v>1</v>
      </c>
      <c r="I18" s="123">
        <f t="shared" si="0"/>
        <v>0.08</v>
      </c>
    </row>
    <row r="19" spans="2:9" ht="25.5">
      <c r="B19" s="105" t="s">
        <v>200</v>
      </c>
      <c r="C19" s="105" t="s">
        <v>208</v>
      </c>
      <c r="D19" s="105" t="s">
        <v>209</v>
      </c>
      <c r="E19" s="105" t="s">
        <v>205</v>
      </c>
      <c r="F19" s="105" t="s">
        <v>167</v>
      </c>
      <c r="G19" s="169">
        <v>0.01</v>
      </c>
      <c r="H19" s="107">
        <v>1</v>
      </c>
      <c r="I19" s="123">
        <f t="shared" si="0"/>
        <v>0.01</v>
      </c>
    </row>
    <row r="20" spans="2:9" ht="25.5">
      <c r="B20" s="105" t="s">
        <v>200</v>
      </c>
      <c r="C20" s="105" t="s">
        <v>210</v>
      </c>
      <c r="D20" s="105" t="s">
        <v>211</v>
      </c>
      <c r="E20" s="105" t="s">
        <v>205</v>
      </c>
      <c r="F20" s="105" t="s">
        <v>167</v>
      </c>
      <c r="G20" s="169">
        <v>0.77</v>
      </c>
      <c r="H20" s="107">
        <v>1</v>
      </c>
      <c r="I20" s="123">
        <f t="shared" si="0"/>
        <v>0.77</v>
      </c>
    </row>
    <row r="21" spans="2:9" ht="63" customHeight="1">
      <c r="B21" s="237" t="s">
        <v>212</v>
      </c>
      <c r="C21" s="238"/>
      <c r="D21" s="238"/>
      <c r="E21" s="238"/>
      <c r="F21" s="238"/>
      <c r="G21" s="238"/>
      <c r="H21" s="238"/>
      <c r="I21" s="238"/>
    </row>
  </sheetData>
  <mergeCells count="17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21:I21"/>
    <mergeCell ref="B10:C10"/>
    <mergeCell ref="D10:I10"/>
    <mergeCell ref="B11:C11"/>
    <mergeCell ref="D11:I11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79998168889431442"/>
  </sheetPr>
  <dimension ref="A1:AMJ25"/>
  <sheetViews>
    <sheetView zoomScale="110" zoomScaleNormal="110" workbookViewId="0">
      <selection activeCell="E6" sqref="E6"/>
    </sheetView>
  </sheetViews>
  <sheetFormatPr defaultColWidth="10.5" defaultRowHeight="14.25"/>
  <cols>
    <col min="1" max="1" width="5.25" style="124" customWidth="1"/>
    <col min="2" max="2" width="54.75" style="124" customWidth="1"/>
    <col min="3" max="3" width="38.75" style="124" customWidth="1"/>
    <col min="4" max="4" width="31.125" style="124" customWidth="1"/>
    <col min="5" max="1024" width="10.5" style="124"/>
  </cols>
  <sheetData>
    <row r="1" spans="2:3" ht="15" customHeight="1"/>
    <row r="2" spans="2:3">
      <c r="C2" s="125" t="s">
        <v>157</v>
      </c>
    </row>
    <row r="3" spans="2:3">
      <c r="B3" s="126" t="s">
        <v>213</v>
      </c>
      <c r="C3" s="125" t="s">
        <v>214</v>
      </c>
    </row>
    <row r="4" spans="2:3" ht="15">
      <c r="B4" s="126" t="s">
        <v>215</v>
      </c>
      <c r="C4" s="172" t="s">
        <v>216</v>
      </c>
    </row>
    <row r="5" spans="2:3">
      <c r="B5" s="126" t="s">
        <v>183</v>
      </c>
      <c r="C5" s="190" t="s">
        <v>217</v>
      </c>
    </row>
    <row r="6" spans="2:3" ht="25.5">
      <c r="B6" s="126" t="s">
        <v>218</v>
      </c>
      <c r="C6" s="172" t="s">
        <v>219</v>
      </c>
    </row>
    <row r="7" spans="2:3">
      <c r="B7" s="126" t="s">
        <v>220</v>
      </c>
      <c r="C7" s="173">
        <v>2752.2</v>
      </c>
    </row>
    <row r="8" spans="2:3">
      <c r="B8" s="127"/>
      <c r="C8" s="128"/>
    </row>
    <row r="9" spans="2:3" ht="25.5">
      <c r="B9" s="129" t="s">
        <v>221</v>
      </c>
      <c r="C9" s="126"/>
    </row>
    <row r="10" spans="2:3">
      <c r="B10" s="126" t="s">
        <v>187</v>
      </c>
      <c r="C10" s="130">
        <v>0.9345</v>
      </c>
    </row>
    <row r="11" spans="2:3">
      <c r="B11" s="126" t="s">
        <v>222</v>
      </c>
      <c r="C11" s="130">
        <v>0.54200000000000004</v>
      </c>
    </row>
    <row r="12" spans="2:3">
      <c r="B12" s="126" t="s">
        <v>188</v>
      </c>
      <c r="C12" s="130">
        <v>1.1637</v>
      </c>
    </row>
    <row r="13" spans="2:3">
      <c r="B13" s="126" t="s">
        <v>223</v>
      </c>
      <c r="C13" s="130">
        <v>0.72499999999999998</v>
      </c>
    </row>
    <row r="14" spans="2:3" ht="13.5" customHeight="1">
      <c r="B14" s="127"/>
      <c r="C14" s="127"/>
    </row>
    <row r="15" spans="2:3">
      <c r="B15" s="131" t="s">
        <v>224</v>
      </c>
      <c r="C15" s="132"/>
    </row>
    <row r="16" spans="2:3" ht="15.75">
      <c r="B16" s="133" t="s">
        <v>225</v>
      </c>
      <c r="C16" s="132">
        <f>C7*(1+C11)</f>
        <v>4243.8923999999997</v>
      </c>
    </row>
    <row r="17" spans="2:3" ht="15.75">
      <c r="B17" s="133" t="s">
        <v>226</v>
      </c>
      <c r="C17" s="132">
        <f>C7*(1+C13)</f>
        <v>4747.5450000000001</v>
      </c>
    </row>
    <row r="18" spans="2:3" ht="15.75">
      <c r="B18" s="133" t="s">
        <v>227</v>
      </c>
      <c r="C18" s="134">
        <f>C16*(1+C10)/(220*(1+C11))</f>
        <v>24.200594999999996</v>
      </c>
    </row>
    <row r="19" spans="2:3" ht="15.75">
      <c r="B19" s="133" t="s">
        <v>228</v>
      </c>
      <c r="C19" s="134">
        <f>(C17*(1+C12)/(220*(1+C13)))</f>
        <v>27.067886999999999</v>
      </c>
    </row>
    <row r="21" spans="2:3">
      <c r="B21" s="174" t="s">
        <v>229</v>
      </c>
    </row>
    <row r="22" spans="2:3" ht="90.75" customHeight="1">
      <c r="B22" s="244" t="s">
        <v>230</v>
      </c>
      <c r="C22" s="245"/>
    </row>
    <row r="23" spans="2:3" ht="42" customHeight="1">
      <c r="B23" s="243" t="s">
        <v>231</v>
      </c>
      <c r="C23" s="243"/>
    </row>
    <row r="24" spans="2:3" ht="41.25" customHeight="1">
      <c r="B24" s="243" t="s">
        <v>232</v>
      </c>
      <c r="C24" s="243"/>
    </row>
    <row r="25" spans="2:3" ht="33.75" customHeight="1">
      <c r="B25" s="243" t="s">
        <v>233</v>
      </c>
      <c r="C25" s="243"/>
    </row>
  </sheetData>
  <mergeCells count="4">
    <mergeCell ref="B23:C23"/>
    <mergeCell ref="B24:C24"/>
    <mergeCell ref="B25:C25"/>
    <mergeCell ref="B22:C22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79998168889431442"/>
  </sheetPr>
  <dimension ref="B1:K22"/>
  <sheetViews>
    <sheetView zoomScaleNormal="100" workbookViewId="0">
      <selection activeCell="D10" sqref="D10:I10"/>
    </sheetView>
  </sheetViews>
  <sheetFormatPr defaultColWidth="8.625" defaultRowHeight="14.25"/>
  <cols>
    <col min="1" max="1" width="5.25" customWidth="1"/>
    <col min="2" max="2" width="7.125" customWidth="1"/>
    <col min="3" max="3" width="13.625" customWidth="1"/>
    <col min="4" max="4" width="55.875" customWidth="1"/>
    <col min="5" max="5" width="11.625" customWidth="1"/>
    <col min="6" max="6" width="10" customWidth="1"/>
    <col min="7" max="7" width="11.625" customWidth="1"/>
    <col min="8" max="8" width="12" customWidth="1"/>
    <col min="9" max="9" width="11" customWidth="1"/>
  </cols>
  <sheetData>
    <row r="1" spans="2:11" ht="15" customHeight="1"/>
    <row r="2" spans="2:11" ht="24.95" customHeight="1">
      <c r="B2" s="232" t="s">
        <v>234</v>
      </c>
      <c r="C2" s="232"/>
      <c r="D2" s="232"/>
      <c r="E2" s="232"/>
      <c r="F2" s="232"/>
      <c r="G2" s="232"/>
      <c r="H2" s="232"/>
      <c r="I2" s="232"/>
    </row>
    <row r="3" spans="2:11" ht="19.5" customHeight="1"/>
    <row r="4" spans="2:11" ht="16.5" customHeight="1">
      <c r="B4" s="234" t="s">
        <v>235</v>
      </c>
      <c r="C4" s="234"/>
      <c r="D4" s="234"/>
      <c r="E4" s="234"/>
      <c r="F4" s="234"/>
      <c r="G4" s="234"/>
      <c r="H4" s="234"/>
      <c r="I4" s="234"/>
    </row>
    <row r="5" spans="2:11" ht="16.5" customHeight="1">
      <c r="B5" s="226" t="s">
        <v>151</v>
      </c>
      <c r="C5" s="226"/>
      <c r="D5" s="228">
        <v>88264</v>
      </c>
      <c r="E5" s="228"/>
      <c r="F5" s="228"/>
      <c r="G5" s="228"/>
      <c r="H5" s="228"/>
      <c r="I5" s="228"/>
    </row>
    <row r="6" spans="2:11" ht="16.5" customHeight="1">
      <c r="B6" s="226" t="s">
        <v>123</v>
      </c>
      <c r="C6" s="226"/>
      <c r="D6" s="228" t="s">
        <v>236</v>
      </c>
      <c r="E6" s="228"/>
      <c r="F6" s="228"/>
      <c r="G6" s="228"/>
      <c r="H6" s="228"/>
      <c r="I6" s="228"/>
    </row>
    <row r="7" spans="2:11" ht="16.5" customHeight="1">
      <c r="B7" s="226" t="s">
        <v>154</v>
      </c>
      <c r="C7" s="226"/>
      <c r="D7" s="233" t="s">
        <v>155</v>
      </c>
      <c r="E7" s="233"/>
      <c r="F7" s="233"/>
      <c r="G7" s="233"/>
      <c r="H7" s="233"/>
      <c r="I7" s="233"/>
    </row>
    <row r="8" spans="2:11" ht="16.5" customHeight="1">
      <c r="B8" s="226" t="s">
        <v>156</v>
      </c>
      <c r="C8" s="226"/>
      <c r="D8" s="228" t="s">
        <v>157</v>
      </c>
      <c r="E8" s="228"/>
      <c r="F8" s="228"/>
      <c r="G8" s="228"/>
      <c r="H8" s="228"/>
      <c r="I8" s="228"/>
    </row>
    <row r="9" spans="2:11" ht="16.5" customHeight="1">
      <c r="B9" s="226" t="s">
        <v>158</v>
      </c>
      <c r="C9" s="226"/>
      <c r="D9" s="228" t="s">
        <v>237</v>
      </c>
      <c r="E9" s="228"/>
      <c r="F9" s="228"/>
      <c r="G9" s="228"/>
      <c r="H9" s="228"/>
      <c r="I9" s="228"/>
    </row>
    <row r="10" spans="2:11" ht="16.5" customHeight="1">
      <c r="B10" s="226" t="s">
        <v>124</v>
      </c>
      <c r="C10" s="226"/>
      <c r="D10" s="228" t="s">
        <v>167</v>
      </c>
      <c r="E10" s="228"/>
      <c r="F10" s="228"/>
      <c r="G10" s="228"/>
      <c r="H10" s="228"/>
      <c r="I10" s="228"/>
    </row>
    <row r="11" spans="2:11" ht="16.5" customHeight="1">
      <c r="B11" s="226" t="s">
        <v>125</v>
      </c>
      <c r="C11" s="226"/>
      <c r="D11" s="231">
        <f>SUM(I14:I22)</f>
        <v>34.720594999999996</v>
      </c>
      <c r="E11" s="231"/>
      <c r="F11" s="231"/>
      <c r="G11" s="231"/>
      <c r="H11" s="231"/>
      <c r="I11" s="231"/>
    </row>
    <row r="12" spans="2:11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11" ht="29.25" customHeight="1">
      <c r="B13" s="104"/>
      <c r="C13" s="104" t="s">
        <v>160</v>
      </c>
      <c r="D13" s="104" t="s">
        <v>123</v>
      </c>
      <c r="E13" s="104" t="s">
        <v>158</v>
      </c>
      <c r="F13" s="104" t="s">
        <v>124</v>
      </c>
      <c r="G13" s="104" t="s">
        <v>161</v>
      </c>
      <c r="H13" s="104" t="s">
        <v>162</v>
      </c>
      <c r="I13" s="104" t="s">
        <v>125</v>
      </c>
    </row>
    <row r="14" spans="2:11" ht="38.25">
      <c r="B14" s="105" t="s">
        <v>163</v>
      </c>
      <c r="C14" s="105">
        <v>95332</v>
      </c>
      <c r="D14" s="105" t="s">
        <v>238</v>
      </c>
      <c r="E14" s="105" t="s">
        <v>237</v>
      </c>
      <c r="F14" s="105" t="s">
        <v>167</v>
      </c>
      <c r="G14" s="169">
        <v>0.9</v>
      </c>
      <c r="H14" s="107">
        <v>1</v>
      </c>
      <c r="I14" s="123">
        <f t="shared" ref="I14:I22" si="0">G14*H14</f>
        <v>0.9</v>
      </c>
      <c r="J14" s="136"/>
      <c r="K14" s="136"/>
    </row>
    <row r="15" spans="2:11">
      <c r="B15" s="105" t="s">
        <v>200</v>
      </c>
      <c r="C15" s="105" t="s">
        <v>239</v>
      </c>
      <c r="D15" s="105" t="s">
        <v>240</v>
      </c>
      <c r="E15" s="105" t="s">
        <v>202</v>
      </c>
      <c r="F15" s="105" t="s">
        <v>167</v>
      </c>
      <c r="G15" s="169">
        <f>'Custo Oficial de Manutenção'!C18</f>
        <v>24.200594999999996</v>
      </c>
      <c r="H15" s="107">
        <v>1</v>
      </c>
      <c r="I15" s="123">
        <f t="shared" si="0"/>
        <v>24.200594999999996</v>
      </c>
      <c r="J15" s="136"/>
      <c r="K15" s="136"/>
    </row>
    <row r="16" spans="2:11" ht="25.5">
      <c r="B16" s="105" t="s">
        <v>200</v>
      </c>
      <c r="C16" s="105">
        <v>37370</v>
      </c>
      <c r="D16" s="105" t="s">
        <v>241</v>
      </c>
      <c r="E16" s="105" t="s">
        <v>205</v>
      </c>
      <c r="F16" s="105" t="s">
        <v>167</v>
      </c>
      <c r="G16" s="169">
        <v>4.76</v>
      </c>
      <c r="H16" s="107">
        <v>1</v>
      </c>
      <c r="I16" s="123">
        <f t="shared" si="0"/>
        <v>4.76</v>
      </c>
      <c r="J16" s="136"/>
      <c r="K16" s="136"/>
    </row>
    <row r="17" spans="2:11" ht="25.5">
      <c r="B17" s="105" t="s">
        <v>200</v>
      </c>
      <c r="C17" s="105">
        <v>37371</v>
      </c>
      <c r="D17" s="105" t="s">
        <v>242</v>
      </c>
      <c r="E17" s="105" t="s">
        <v>205</v>
      </c>
      <c r="F17" s="105" t="s">
        <v>167</v>
      </c>
      <c r="G17" s="169">
        <v>0.92</v>
      </c>
      <c r="H17" s="107">
        <v>1</v>
      </c>
      <c r="I17" s="123">
        <f t="shared" si="0"/>
        <v>0.92</v>
      </c>
      <c r="J17" s="136"/>
      <c r="K17" s="136"/>
    </row>
    <row r="18" spans="2:11" ht="25.5">
      <c r="B18" s="105" t="s">
        <v>200</v>
      </c>
      <c r="C18" s="105">
        <v>37372</v>
      </c>
      <c r="D18" s="105" t="s">
        <v>204</v>
      </c>
      <c r="E18" s="105" t="s">
        <v>205</v>
      </c>
      <c r="F18" s="105" t="s">
        <v>167</v>
      </c>
      <c r="G18" s="169">
        <v>1.43</v>
      </c>
      <c r="H18" s="107">
        <v>1</v>
      </c>
      <c r="I18" s="123">
        <f t="shared" si="0"/>
        <v>1.43</v>
      </c>
      <c r="J18" s="136"/>
      <c r="K18" s="136"/>
    </row>
    <row r="19" spans="2:11" ht="25.5">
      <c r="B19" s="105" t="s">
        <v>200</v>
      </c>
      <c r="C19" s="105">
        <v>37373</v>
      </c>
      <c r="D19" s="105" t="s">
        <v>207</v>
      </c>
      <c r="E19" s="105" t="s">
        <v>205</v>
      </c>
      <c r="F19" s="105" t="s">
        <v>167</v>
      </c>
      <c r="G19" s="169">
        <v>0.08</v>
      </c>
      <c r="H19" s="107">
        <v>1</v>
      </c>
      <c r="I19" s="123">
        <f t="shared" si="0"/>
        <v>0.08</v>
      </c>
      <c r="J19" s="136"/>
      <c r="K19" s="136"/>
    </row>
    <row r="20" spans="2:11" ht="25.5">
      <c r="B20" s="105" t="s">
        <v>200</v>
      </c>
      <c r="C20" s="105">
        <v>43460</v>
      </c>
      <c r="D20" s="105" t="s">
        <v>243</v>
      </c>
      <c r="E20" s="105" t="s">
        <v>205</v>
      </c>
      <c r="F20" s="105" t="s">
        <v>167</v>
      </c>
      <c r="G20" s="169">
        <v>0.86</v>
      </c>
      <c r="H20" s="107">
        <v>1</v>
      </c>
      <c r="I20" s="123">
        <f t="shared" si="0"/>
        <v>0.86</v>
      </c>
      <c r="J20" s="136"/>
      <c r="K20" s="136"/>
    </row>
    <row r="21" spans="2:11" s="137" customFormat="1" ht="25.5">
      <c r="B21" s="138" t="s">
        <v>200</v>
      </c>
      <c r="C21" s="138">
        <v>43461</v>
      </c>
      <c r="D21" s="138" t="s">
        <v>244</v>
      </c>
      <c r="E21" s="105" t="s">
        <v>205</v>
      </c>
      <c r="F21" s="138" t="s">
        <v>167</v>
      </c>
      <c r="G21" s="170">
        <v>0.31</v>
      </c>
      <c r="H21" s="139">
        <v>1</v>
      </c>
      <c r="I21" s="140">
        <f t="shared" si="0"/>
        <v>0.31</v>
      </c>
      <c r="J21" s="141"/>
      <c r="K21" s="141"/>
    </row>
    <row r="22" spans="2:11" ht="25.5">
      <c r="B22" s="105" t="s">
        <v>200</v>
      </c>
      <c r="C22" s="105">
        <v>43484</v>
      </c>
      <c r="D22" s="105" t="s">
        <v>245</v>
      </c>
      <c r="E22" s="105" t="s">
        <v>205</v>
      </c>
      <c r="F22" s="105" t="s">
        <v>167</v>
      </c>
      <c r="G22" s="169">
        <v>1.26</v>
      </c>
      <c r="H22" s="107">
        <v>1</v>
      </c>
      <c r="I22" s="123">
        <f t="shared" si="0"/>
        <v>1.26</v>
      </c>
      <c r="J22" s="136"/>
      <c r="K22" s="136"/>
    </row>
  </sheetData>
  <mergeCells count="16">
    <mergeCell ref="B2:I2"/>
    <mergeCell ref="B4:I4"/>
    <mergeCell ref="B5:C5"/>
    <mergeCell ref="D5:I5"/>
    <mergeCell ref="B6:C6"/>
    <mergeCell ref="D6:I6"/>
    <mergeCell ref="B10:C10"/>
    <mergeCell ref="D10:I10"/>
    <mergeCell ref="B11:C11"/>
    <mergeCell ref="D11:I11"/>
    <mergeCell ref="B7:C7"/>
    <mergeCell ref="D7:I7"/>
    <mergeCell ref="B8:C8"/>
    <mergeCell ref="D8:I8"/>
    <mergeCell ref="B9:C9"/>
    <mergeCell ref="D9:I9"/>
  </mergeCells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</sheetPr>
  <dimension ref="B1:IY29"/>
  <sheetViews>
    <sheetView showGridLines="0" topLeftCell="A7" zoomScaleNormal="100" workbookViewId="0">
      <selection activeCell="P20" sqref="P20"/>
    </sheetView>
  </sheetViews>
  <sheetFormatPr defaultColWidth="10.375" defaultRowHeight="14.25"/>
  <cols>
    <col min="1" max="1" width="5.625" customWidth="1"/>
    <col min="2" max="2" width="15.5" style="11" customWidth="1"/>
    <col min="3" max="3" width="16.25" style="12" customWidth="1"/>
    <col min="4" max="4" width="32" style="11" customWidth="1"/>
    <col min="5" max="5" width="36.875" style="11" customWidth="1"/>
    <col min="6" max="6" width="15.25" style="12" customWidth="1"/>
    <col min="7" max="7" width="9" style="11" customWidth="1"/>
    <col min="8" max="8" width="9.125" style="11" customWidth="1"/>
    <col min="9" max="9" width="12" style="11" customWidth="1"/>
    <col min="10" max="11" width="11.25" style="11" customWidth="1"/>
    <col min="12" max="12" width="10.375" style="11"/>
    <col min="13" max="13" width="10.5" style="11" customWidth="1"/>
    <col min="14" max="14" width="12.5" style="11" customWidth="1"/>
    <col min="15" max="259" width="10.5" style="11" customWidth="1"/>
  </cols>
  <sheetData>
    <row r="1" spans="2:14" ht="15" customHeight="1"/>
    <row r="2" spans="2:14" s="142" customFormat="1" ht="29.25" customHeight="1">
      <c r="B2" s="246" t="str">
        <f>"RELAÇÃO DE UNIDADES DO "&amp;'Valor da Contratação'!B7&amp;""</f>
        <v>RELAÇÃO DE UNIDADES DO POLO II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</row>
    <row r="3" spans="2:14" s="11" customFormat="1" ht="15" customHeight="1"/>
    <row r="4" spans="2:14" ht="66.75" customHeight="1">
      <c r="B4" s="2" t="s">
        <v>246</v>
      </c>
      <c r="C4" s="2" t="s">
        <v>13</v>
      </c>
      <c r="D4" s="2" t="s">
        <v>41</v>
      </c>
      <c r="E4" s="2" t="s">
        <v>247</v>
      </c>
      <c r="F4" s="2" t="s">
        <v>248</v>
      </c>
      <c r="G4" s="2" t="s">
        <v>249</v>
      </c>
      <c r="H4" s="2" t="s">
        <v>71</v>
      </c>
      <c r="I4" s="2" t="s">
        <v>250</v>
      </c>
      <c r="J4" s="2" t="s">
        <v>251</v>
      </c>
      <c r="K4" s="2" t="s">
        <v>252</v>
      </c>
      <c r="L4" s="2" t="s">
        <v>253</v>
      </c>
      <c r="M4" s="2" t="s">
        <v>254</v>
      </c>
      <c r="N4" s="2" t="s">
        <v>255</v>
      </c>
    </row>
    <row r="5" spans="2:14" ht="18" customHeight="1">
      <c r="B5" s="143" t="s">
        <v>21</v>
      </c>
      <c r="C5" s="143" t="s">
        <v>21</v>
      </c>
      <c r="D5" s="46" t="s">
        <v>81</v>
      </c>
      <c r="E5" s="144" t="s">
        <v>256</v>
      </c>
      <c r="F5" s="48">
        <v>0.18333333333333332</v>
      </c>
      <c r="G5" s="145">
        <v>0.05</v>
      </c>
      <c r="H5" s="145">
        <f>HLOOKUP(G5,BDI!$D$19:$J$30,12,)</f>
        <v>0.31419999999999998</v>
      </c>
      <c r="I5" s="66">
        <v>337.58</v>
      </c>
      <c r="J5" s="66">
        <v>337.58</v>
      </c>
      <c r="K5" s="66">
        <v>0</v>
      </c>
      <c r="L5" s="66">
        <v>0</v>
      </c>
      <c r="M5" s="66" t="s">
        <v>257</v>
      </c>
      <c r="N5" s="66" t="s">
        <v>257</v>
      </c>
    </row>
    <row r="6" spans="2:14" ht="18" customHeight="1">
      <c r="B6" s="143" t="s">
        <v>21</v>
      </c>
      <c r="C6" s="143" t="s">
        <v>21</v>
      </c>
      <c r="D6" s="46" t="s">
        <v>83</v>
      </c>
      <c r="E6" s="144" t="s">
        <v>258</v>
      </c>
      <c r="F6" s="48">
        <v>3.3333333333333335</v>
      </c>
      <c r="G6" s="145">
        <v>0.03</v>
      </c>
      <c r="H6" s="145">
        <f>HLOOKUP(G6,BDI!$D$19:$J$30,12,)</f>
        <v>0.28489999999999999</v>
      </c>
      <c r="I6" s="66">
        <v>334.4</v>
      </c>
      <c r="J6" s="66">
        <v>296</v>
      </c>
      <c r="K6" s="66">
        <v>38.4</v>
      </c>
      <c r="L6" s="66">
        <v>0</v>
      </c>
      <c r="M6" s="66" t="s">
        <v>257</v>
      </c>
      <c r="N6" s="66" t="s">
        <v>257</v>
      </c>
    </row>
    <row r="7" spans="2:14" ht="18" customHeight="1">
      <c r="B7" s="143" t="s">
        <v>21</v>
      </c>
      <c r="C7" s="143" t="s">
        <v>21</v>
      </c>
      <c r="D7" s="46" t="s">
        <v>85</v>
      </c>
      <c r="E7" s="176" t="s">
        <v>259</v>
      </c>
      <c r="F7" s="48">
        <v>2.1666666666666665</v>
      </c>
      <c r="G7" s="145">
        <v>2.5000000000000001E-2</v>
      </c>
      <c r="H7" s="145">
        <f>HLOOKUP(G7,BDI!$D$19:$J$30,12,)</f>
        <v>0.27779999999999999</v>
      </c>
      <c r="I7" s="66">
        <v>2574.59</v>
      </c>
      <c r="J7" s="66">
        <v>1216.5899999999999</v>
      </c>
      <c r="K7" s="66">
        <v>952.47</v>
      </c>
      <c r="L7" s="66">
        <v>405.53</v>
      </c>
      <c r="M7" s="66" t="s">
        <v>260</v>
      </c>
      <c r="N7" s="66" t="s">
        <v>260</v>
      </c>
    </row>
    <row r="8" spans="2:14" ht="18" customHeight="1">
      <c r="B8" s="143" t="s">
        <v>21</v>
      </c>
      <c r="C8" s="143" t="s">
        <v>21</v>
      </c>
      <c r="D8" s="46" t="s">
        <v>86</v>
      </c>
      <c r="E8" s="176" t="s">
        <v>261</v>
      </c>
      <c r="F8" s="48">
        <v>1.4666666666666666</v>
      </c>
      <c r="G8" s="145">
        <v>0.05</v>
      </c>
      <c r="H8" s="145">
        <f>HLOOKUP(G8,BDI!$D$19:$J$30,12,)</f>
        <v>0.31419999999999998</v>
      </c>
      <c r="I8" s="66">
        <v>876</v>
      </c>
      <c r="J8" s="66">
        <v>591</v>
      </c>
      <c r="K8" s="66">
        <v>285</v>
      </c>
      <c r="L8" s="66">
        <v>0</v>
      </c>
      <c r="M8" s="66" t="s">
        <v>257</v>
      </c>
      <c r="N8" s="66" t="s">
        <v>257</v>
      </c>
    </row>
    <row r="9" spans="2:14" ht="18" customHeight="1">
      <c r="B9" s="143" t="s">
        <v>21</v>
      </c>
      <c r="C9" s="143" t="s">
        <v>21</v>
      </c>
      <c r="D9" s="46" t="s">
        <v>87</v>
      </c>
      <c r="E9" s="144" t="s">
        <v>262</v>
      </c>
      <c r="F9" s="48">
        <v>3.1</v>
      </c>
      <c r="G9" s="145">
        <v>0.05</v>
      </c>
      <c r="H9" s="145">
        <f>HLOOKUP(G9,BDI!$D$19:$J$30,12,)</f>
        <v>0.31419999999999998</v>
      </c>
      <c r="I9" s="66">
        <v>540</v>
      </c>
      <c r="J9" s="66">
        <v>540</v>
      </c>
      <c r="K9" s="66">
        <v>0</v>
      </c>
      <c r="L9" s="66">
        <v>0</v>
      </c>
      <c r="M9" s="66" t="s">
        <v>257</v>
      </c>
      <c r="N9" s="66" t="s">
        <v>260</v>
      </c>
    </row>
    <row r="10" spans="2:14" ht="18" customHeight="1">
      <c r="B10" s="143" t="s">
        <v>21</v>
      </c>
      <c r="C10" s="143" t="s">
        <v>21</v>
      </c>
      <c r="D10" s="46" t="s">
        <v>89</v>
      </c>
      <c r="E10" s="144" t="s">
        <v>263</v>
      </c>
      <c r="F10" s="48">
        <v>3.7666666666666666</v>
      </c>
      <c r="G10" s="145">
        <v>0.03</v>
      </c>
      <c r="H10" s="145">
        <f>HLOOKUP(G10,BDI!$D$19:$J$30,12,)</f>
        <v>0.28489999999999999</v>
      </c>
      <c r="I10" s="66">
        <v>334.4</v>
      </c>
      <c r="J10" s="66">
        <v>296</v>
      </c>
      <c r="K10" s="66">
        <v>38.4</v>
      </c>
      <c r="L10" s="66">
        <v>0</v>
      </c>
      <c r="M10" s="66" t="s">
        <v>257</v>
      </c>
      <c r="N10" s="66" t="s">
        <v>257</v>
      </c>
    </row>
    <row r="11" spans="2:14" ht="18" customHeight="1">
      <c r="B11" s="143" t="s">
        <v>21</v>
      </c>
      <c r="C11" s="143" t="s">
        <v>21</v>
      </c>
      <c r="D11" s="46" t="s">
        <v>90</v>
      </c>
      <c r="E11" s="144" t="s">
        <v>264</v>
      </c>
      <c r="F11" s="48">
        <v>0.83333333333333337</v>
      </c>
      <c r="G11" s="145">
        <v>0.05</v>
      </c>
      <c r="H11" s="145">
        <f>HLOOKUP(G11,BDI!$D$19:$J$30,12,)</f>
        <v>0.31419999999999998</v>
      </c>
      <c r="I11" s="66">
        <v>640</v>
      </c>
      <c r="J11" s="66">
        <v>432</v>
      </c>
      <c r="K11" s="66">
        <v>208</v>
      </c>
      <c r="L11" s="66">
        <v>0</v>
      </c>
      <c r="M11" s="66" t="s">
        <v>257</v>
      </c>
      <c r="N11" s="66" t="s">
        <v>257</v>
      </c>
    </row>
    <row r="12" spans="2:14" ht="18" customHeight="1">
      <c r="B12" s="143" t="s">
        <v>21</v>
      </c>
      <c r="C12" s="143" t="s">
        <v>21</v>
      </c>
      <c r="D12" s="46" t="s">
        <v>92</v>
      </c>
      <c r="E12" s="144" t="s">
        <v>265</v>
      </c>
      <c r="F12" s="48">
        <v>2</v>
      </c>
      <c r="G12" s="145">
        <v>0.05</v>
      </c>
      <c r="H12" s="145">
        <f>HLOOKUP(G12,BDI!$D$19:$J$30,12,)</f>
        <v>0.31419999999999998</v>
      </c>
      <c r="I12" s="66">
        <v>3162.34</v>
      </c>
      <c r="J12" s="66">
        <v>777.69</v>
      </c>
      <c r="K12" s="66">
        <v>2384.65</v>
      </c>
      <c r="L12" s="66">
        <v>0</v>
      </c>
      <c r="M12" s="66" t="s">
        <v>260</v>
      </c>
      <c r="N12" s="66" t="s">
        <v>260</v>
      </c>
    </row>
    <row r="13" spans="2:14" ht="18" customHeight="1">
      <c r="B13" s="143" t="s">
        <v>21</v>
      </c>
      <c r="C13" s="143" t="s">
        <v>21</v>
      </c>
      <c r="D13" s="46" t="s">
        <v>93</v>
      </c>
      <c r="E13" s="144" t="s">
        <v>266</v>
      </c>
      <c r="F13" s="48">
        <v>4.4333333333333336</v>
      </c>
      <c r="G13" s="145">
        <v>0.05</v>
      </c>
      <c r="H13" s="145">
        <f>HLOOKUP(G13,BDI!$D$19:$J$30,12,)</f>
        <v>0.31419999999999998</v>
      </c>
      <c r="I13" s="66">
        <v>2748</v>
      </c>
      <c r="J13" s="66">
        <v>1090</v>
      </c>
      <c r="K13" s="66">
        <v>1313.41</v>
      </c>
      <c r="L13" s="66">
        <v>344.59</v>
      </c>
      <c r="M13" s="66" t="s">
        <v>260</v>
      </c>
      <c r="N13" s="66" t="s">
        <v>260</v>
      </c>
    </row>
    <row r="14" spans="2:14" ht="18" customHeight="1">
      <c r="B14" s="143" t="s">
        <v>21</v>
      </c>
      <c r="C14" s="143" t="s">
        <v>21</v>
      </c>
      <c r="D14" s="46" t="s">
        <v>95</v>
      </c>
      <c r="E14" s="144" t="s">
        <v>267</v>
      </c>
      <c r="F14" s="48">
        <v>0.2</v>
      </c>
      <c r="G14" s="145">
        <v>0.05</v>
      </c>
      <c r="H14" s="145">
        <f>HLOOKUP(G14,BDI!$D$19:$J$30,12,)</f>
        <v>0.31419999999999998</v>
      </c>
      <c r="I14" s="66">
        <v>2227.69</v>
      </c>
      <c r="J14" s="66">
        <v>871.93</v>
      </c>
      <c r="K14" s="66">
        <v>1016.64</v>
      </c>
      <c r="L14" s="66">
        <v>339.12</v>
      </c>
      <c r="M14" s="66" t="s">
        <v>260</v>
      </c>
      <c r="N14" s="66" t="s">
        <v>257</v>
      </c>
    </row>
    <row r="15" spans="2:14" ht="18" customHeight="1">
      <c r="B15" s="143" t="s">
        <v>21</v>
      </c>
      <c r="C15" s="143" t="s">
        <v>21</v>
      </c>
      <c r="D15" s="46" t="s">
        <v>96</v>
      </c>
      <c r="E15" s="144" t="s">
        <v>268</v>
      </c>
      <c r="F15" s="48">
        <v>0.36666666666666664</v>
      </c>
      <c r="G15" s="145">
        <v>0.05</v>
      </c>
      <c r="H15" s="145">
        <f>HLOOKUP(G15,BDI!$D$19:$J$30,12,)</f>
        <v>0.31419999999999998</v>
      </c>
      <c r="I15" s="66">
        <v>744.51</v>
      </c>
      <c r="J15" s="66">
        <v>744.51</v>
      </c>
      <c r="K15" s="66">
        <v>0</v>
      </c>
      <c r="L15" s="66">
        <v>0</v>
      </c>
      <c r="M15" s="66" t="s">
        <v>260</v>
      </c>
      <c r="N15" s="66" t="s">
        <v>260</v>
      </c>
    </row>
    <row r="16" spans="2:14" ht="18" customHeight="1">
      <c r="B16" s="143" t="s">
        <v>21</v>
      </c>
      <c r="C16" s="143" t="s">
        <v>21</v>
      </c>
      <c r="D16" s="46" t="s">
        <v>97</v>
      </c>
      <c r="E16" s="144" t="s">
        <v>269</v>
      </c>
      <c r="F16" s="48">
        <v>1.0666666666666667</v>
      </c>
      <c r="G16" s="145">
        <v>0.05</v>
      </c>
      <c r="H16" s="145">
        <f>HLOOKUP(G16,BDI!$D$19:$J$30,12,)</f>
        <v>0.31419999999999998</v>
      </c>
      <c r="I16" s="66">
        <v>927.97</v>
      </c>
      <c r="J16" s="66">
        <v>696.73</v>
      </c>
      <c r="K16" s="66">
        <v>231.24</v>
      </c>
      <c r="L16" s="66">
        <v>0</v>
      </c>
      <c r="M16" s="66" t="s">
        <v>257</v>
      </c>
      <c r="N16" s="66" t="s">
        <v>260</v>
      </c>
    </row>
    <row r="17" spans="2:14" ht="18" customHeight="1">
      <c r="B17" s="143" t="s">
        <v>21</v>
      </c>
      <c r="C17" s="143" t="s">
        <v>21</v>
      </c>
      <c r="D17" s="46" t="s">
        <v>98</v>
      </c>
      <c r="E17" s="144" t="s">
        <v>270</v>
      </c>
      <c r="F17" s="48">
        <v>4.3666666666666663</v>
      </c>
      <c r="G17" s="145">
        <v>0.03</v>
      </c>
      <c r="H17" s="145">
        <f>HLOOKUP(G17,BDI!$D$19:$J$30,12,)</f>
        <v>0.28489999999999999</v>
      </c>
      <c r="I17" s="66">
        <v>334.4</v>
      </c>
      <c r="J17" s="66">
        <v>296</v>
      </c>
      <c r="K17" s="66">
        <v>38.4</v>
      </c>
      <c r="L17" s="66">
        <v>0</v>
      </c>
      <c r="M17" s="66" t="s">
        <v>257</v>
      </c>
      <c r="N17" s="66" t="s">
        <v>257</v>
      </c>
    </row>
    <row r="18" spans="2:14" ht="18" customHeight="1">
      <c r="B18" s="143" t="s">
        <v>21</v>
      </c>
      <c r="C18" s="143" t="s">
        <v>21</v>
      </c>
      <c r="D18" s="46" t="s">
        <v>99</v>
      </c>
      <c r="E18" s="144" t="s">
        <v>271</v>
      </c>
      <c r="F18" s="48">
        <v>0</v>
      </c>
      <c r="G18" s="145">
        <v>0.05</v>
      </c>
      <c r="H18" s="145">
        <f>HLOOKUP(G18,BDI!$D$19:$J$30,12,)</f>
        <v>0.31419999999999998</v>
      </c>
      <c r="I18" s="66">
        <v>1761.41</v>
      </c>
      <c r="J18" s="66">
        <v>1378.65</v>
      </c>
      <c r="K18" s="66">
        <v>382.76</v>
      </c>
      <c r="L18" s="66">
        <v>0</v>
      </c>
      <c r="M18" s="66" t="s">
        <v>260</v>
      </c>
      <c r="N18" s="66" t="s">
        <v>260</v>
      </c>
    </row>
    <row r="19" spans="2:14" ht="18" customHeight="1">
      <c r="B19" s="143" t="s">
        <v>272</v>
      </c>
      <c r="C19" s="143" t="s">
        <v>21</v>
      </c>
      <c r="D19" s="46" t="s">
        <v>100</v>
      </c>
      <c r="E19" s="144" t="s">
        <v>273</v>
      </c>
      <c r="F19" s="48">
        <v>4.6333333333333337</v>
      </c>
      <c r="G19" s="145">
        <v>0.03</v>
      </c>
      <c r="H19" s="145">
        <f>HLOOKUP(G19,BDI!$D$19:$J$30,12,)</f>
        <v>0.28489999999999999</v>
      </c>
      <c r="I19" s="66">
        <v>525</v>
      </c>
      <c r="J19" s="66">
        <v>525</v>
      </c>
      <c r="K19" s="66">
        <v>0</v>
      </c>
      <c r="L19" s="66">
        <v>0</v>
      </c>
      <c r="M19" s="66" t="s">
        <v>257</v>
      </c>
      <c r="N19" s="66" t="s">
        <v>257</v>
      </c>
    </row>
    <row r="20" spans="2:14" ht="18" customHeight="1">
      <c r="B20" s="143" t="s">
        <v>21</v>
      </c>
      <c r="C20" s="143" t="s">
        <v>22</v>
      </c>
      <c r="D20" s="46" t="s">
        <v>139</v>
      </c>
      <c r="E20" s="144" t="s">
        <v>274</v>
      </c>
      <c r="F20" s="48">
        <v>4.7</v>
      </c>
      <c r="G20" s="145">
        <v>0.05</v>
      </c>
      <c r="H20" s="145">
        <f>HLOOKUP(G20,BDI!$D$19:$J$30,12,)</f>
        <v>0.31419999999999998</v>
      </c>
      <c r="I20" s="66">
        <v>1221.73</v>
      </c>
      <c r="J20" s="66">
        <v>748.48</v>
      </c>
      <c r="K20" s="66">
        <v>360.75</v>
      </c>
      <c r="L20" s="66">
        <v>112.5</v>
      </c>
      <c r="M20" s="66" t="s">
        <v>257</v>
      </c>
      <c r="N20" s="66" t="s">
        <v>260</v>
      </c>
    </row>
    <row r="21" spans="2:14" ht="18" customHeight="1">
      <c r="B21" s="143" t="s">
        <v>272</v>
      </c>
      <c r="C21" s="143" t="s">
        <v>22</v>
      </c>
      <c r="D21" s="46" t="s">
        <v>140</v>
      </c>
      <c r="E21" s="144" t="s">
        <v>275</v>
      </c>
      <c r="F21" s="48">
        <v>0</v>
      </c>
      <c r="G21" s="145">
        <v>0.05</v>
      </c>
      <c r="H21" s="145">
        <f>HLOOKUP(G21,BDI!$D$19:$J$30,12,)</f>
        <v>0.31419999999999998</v>
      </c>
      <c r="I21" s="66">
        <v>2915</v>
      </c>
      <c r="J21" s="66">
        <v>1100</v>
      </c>
      <c r="K21" s="66">
        <v>1715</v>
      </c>
      <c r="L21" s="66">
        <v>100</v>
      </c>
      <c r="M21" s="66" t="s">
        <v>260</v>
      </c>
      <c r="N21" s="66" t="s">
        <v>260</v>
      </c>
    </row>
    <row r="22" spans="2:14" ht="18" customHeight="1">
      <c r="B22" s="143" t="s">
        <v>272</v>
      </c>
      <c r="C22" s="143" t="s">
        <v>22</v>
      </c>
      <c r="D22" s="46" t="s">
        <v>141</v>
      </c>
      <c r="E22" s="144" t="s">
        <v>276</v>
      </c>
      <c r="F22" s="48">
        <v>3.3333333333333335</v>
      </c>
      <c r="G22" s="145">
        <v>0.05</v>
      </c>
      <c r="H22" s="145">
        <f>HLOOKUP(G22,BDI!$D$19:$J$30,12,)</f>
        <v>0.31419999999999998</v>
      </c>
      <c r="I22" s="66">
        <v>480</v>
      </c>
      <c r="J22" s="66">
        <v>480</v>
      </c>
      <c r="K22" s="66">
        <v>0</v>
      </c>
      <c r="L22" s="66">
        <v>0</v>
      </c>
      <c r="M22" s="66" t="s">
        <v>257</v>
      </c>
      <c r="N22" s="66" t="s">
        <v>257</v>
      </c>
    </row>
    <row r="23" spans="2:14" ht="18" customHeight="1">
      <c r="B23" s="143" t="s">
        <v>272</v>
      </c>
      <c r="C23" s="143" t="s">
        <v>22</v>
      </c>
      <c r="D23" s="46" t="s">
        <v>142</v>
      </c>
      <c r="E23" s="144" t="s">
        <v>277</v>
      </c>
      <c r="F23" s="48">
        <v>1.6666666666666667</v>
      </c>
      <c r="G23" s="145">
        <v>0.05</v>
      </c>
      <c r="H23" s="145">
        <f>HLOOKUP(G23,BDI!$D$19:$J$30,12,)</f>
        <v>0.31419999999999998</v>
      </c>
      <c r="I23" s="66">
        <v>334.4</v>
      </c>
      <c r="J23" s="66">
        <v>296</v>
      </c>
      <c r="K23" s="66">
        <v>38.4</v>
      </c>
      <c r="L23" s="66">
        <v>0</v>
      </c>
      <c r="M23" s="66" t="s">
        <v>257</v>
      </c>
      <c r="N23" s="66" t="s">
        <v>257</v>
      </c>
    </row>
    <row r="24" spans="2:14" ht="18" customHeight="1">
      <c r="B24" s="143" t="s">
        <v>272</v>
      </c>
      <c r="C24" s="143" t="s">
        <v>22</v>
      </c>
      <c r="D24" s="46" t="s">
        <v>143</v>
      </c>
      <c r="E24" s="144" t="s">
        <v>278</v>
      </c>
      <c r="F24" s="48">
        <v>2.63</v>
      </c>
      <c r="G24" s="145">
        <v>3.5000000000000003E-2</v>
      </c>
      <c r="H24" s="145">
        <f>HLOOKUP(G24,BDI!$D$19:$J$30,12,)</f>
        <v>0.29210000000000003</v>
      </c>
      <c r="I24" s="66">
        <v>354.16</v>
      </c>
      <c r="J24" s="66">
        <v>354.16</v>
      </c>
      <c r="K24" s="66">
        <v>0</v>
      </c>
      <c r="L24" s="66">
        <v>0</v>
      </c>
      <c r="M24" s="66" t="s">
        <v>257</v>
      </c>
      <c r="N24" s="66" t="s">
        <v>257</v>
      </c>
    </row>
    <row r="25" spans="2:14" ht="18" customHeight="1">
      <c r="B25" s="143" t="s">
        <v>272</v>
      </c>
      <c r="C25" s="143" t="s">
        <v>22</v>
      </c>
      <c r="D25" s="46" t="s">
        <v>144</v>
      </c>
      <c r="E25" s="144" t="s">
        <v>279</v>
      </c>
      <c r="F25" s="48">
        <v>7.3</v>
      </c>
      <c r="G25" s="145">
        <v>0.05</v>
      </c>
      <c r="H25" s="145">
        <f>HLOOKUP(G25,BDI!$D$19:$J$30,12,)</f>
        <v>0.31419999999999998</v>
      </c>
      <c r="I25" s="66">
        <v>2820.21</v>
      </c>
      <c r="J25" s="66">
        <v>2820.21</v>
      </c>
      <c r="K25" s="66">
        <v>0</v>
      </c>
      <c r="L25" s="66">
        <v>0</v>
      </c>
      <c r="M25" s="66" t="s">
        <v>260</v>
      </c>
      <c r="N25" s="66" t="s">
        <v>260</v>
      </c>
    </row>
    <row r="26" spans="2:14" ht="18" customHeight="1">
      <c r="B26" s="143" t="s">
        <v>272</v>
      </c>
      <c r="C26" s="143" t="s">
        <v>22</v>
      </c>
      <c r="D26" s="46" t="s">
        <v>145</v>
      </c>
      <c r="E26" s="144" t="s">
        <v>280</v>
      </c>
      <c r="F26" s="48">
        <v>2.4</v>
      </c>
      <c r="G26" s="145">
        <v>0.05</v>
      </c>
      <c r="H26" s="145">
        <f>HLOOKUP(G26,BDI!$D$19:$J$30,12,)</f>
        <v>0.31419999999999998</v>
      </c>
      <c r="I26" s="66">
        <v>334.4</v>
      </c>
      <c r="J26" s="66">
        <v>296</v>
      </c>
      <c r="K26" s="66">
        <v>38.4</v>
      </c>
      <c r="L26" s="66">
        <v>0</v>
      </c>
      <c r="M26" s="66" t="s">
        <v>257</v>
      </c>
      <c r="N26" s="66" t="s">
        <v>257</v>
      </c>
    </row>
    <row r="27" spans="2:14" ht="18" customHeight="1">
      <c r="B27" s="143" t="s">
        <v>272</v>
      </c>
      <c r="C27" s="143" t="s">
        <v>22</v>
      </c>
      <c r="D27" s="46" t="s">
        <v>146</v>
      </c>
      <c r="E27" s="176" t="s">
        <v>281</v>
      </c>
      <c r="F27" s="48">
        <v>3.6</v>
      </c>
      <c r="G27" s="145">
        <v>0.05</v>
      </c>
      <c r="H27" s="145">
        <f>HLOOKUP(G27,BDI!$D$19:$J$30,12,)</f>
        <v>0.31419999999999998</v>
      </c>
      <c r="I27" s="66">
        <v>334.4</v>
      </c>
      <c r="J27" s="66">
        <v>296</v>
      </c>
      <c r="K27" s="66">
        <v>38.4</v>
      </c>
      <c r="L27" s="66">
        <v>0</v>
      </c>
      <c r="M27" s="66" t="s">
        <v>257</v>
      </c>
      <c r="N27" s="66" t="s">
        <v>257</v>
      </c>
    </row>
    <row r="28" spans="2:14" ht="18" customHeight="1">
      <c r="B28" s="143" t="s">
        <v>272</v>
      </c>
      <c r="C28" s="143" t="s">
        <v>22</v>
      </c>
      <c r="D28" s="46" t="s">
        <v>147</v>
      </c>
      <c r="E28" s="144" t="s">
        <v>282</v>
      </c>
      <c r="F28" s="48">
        <v>7.9666666666666668</v>
      </c>
      <c r="G28" s="145">
        <v>0.02</v>
      </c>
      <c r="H28" s="145">
        <f>HLOOKUP(G28,BDI!$D$19:$J$30,12,)</f>
        <v>0.2707</v>
      </c>
      <c r="I28" s="66">
        <v>1166.8399999999999</v>
      </c>
      <c r="J28" s="66">
        <v>1166.8399999999999</v>
      </c>
      <c r="K28" s="66">
        <v>0</v>
      </c>
      <c r="L28" s="66">
        <v>0</v>
      </c>
      <c r="M28" s="66" t="s">
        <v>257</v>
      </c>
      <c r="N28" s="66" t="s">
        <v>257</v>
      </c>
    </row>
    <row r="29" spans="2:14" ht="18" customHeight="1">
      <c r="B29" s="143" t="s">
        <v>272</v>
      </c>
      <c r="C29" s="143" t="s">
        <v>22</v>
      </c>
      <c r="D29" s="46" t="s">
        <v>148</v>
      </c>
      <c r="E29" s="144" t="s">
        <v>283</v>
      </c>
      <c r="F29" s="48">
        <v>8.2666666666666675</v>
      </c>
      <c r="G29" s="145">
        <v>0.02</v>
      </c>
      <c r="H29" s="145">
        <f>HLOOKUP(G29,BDI!$D$19:$J$30,12,)</f>
        <v>0.2707</v>
      </c>
      <c r="I29" s="66">
        <v>334.4</v>
      </c>
      <c r="J29" s="66">
        <v>296</v>
      </c>
      <c r="K29" s="66">
        <v>38.4</v>
      </c>
      <c r="L29" s="66">
        <v>0</v>
      </c>
      <c r="M29" s="66" t="s">
        <v>257</v>
      </c>
      <c r="N29" s="66" t="s">
        <v>257</v>
      </c>
    </row>
  </sheetData>
  <mergeCells count="1">
    <mergeCell ref="B2:N2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FFFF"/>
  </sheetPr>
  <dimension ref="B1:J65541"/>
  <sheetViews>
    <sheetView showGridLines="0" zoomScaleNormal="100" workbookViewId="0">
      <selection activeCell="O19" sqref="O19"/>
    </sheetView>
  </sheetViews>
  <sheetFormatPr defaultColWidth="10.375" defaultRowHeight="14.25"/>
  <cols>
    <col min="1" max="1" width="5.625" customWidth="1"/>
    <col min="2" max="2" width="15.625" style="146" customWidth="1"/>
    <col min="3" max="3" width="35.875" style="146" customWidth="1"/>
    <col min="4" max="4" width="11" style="37" customWidth="1"/>
    <col min="1024" max="1024" width="8.5" customWidth="1"/>
  </cols>
  <sheetData>
    <row r="1" spans="2:10" ht="15" customHeight="1"/>
    <row r="2" spans="2:10" ht="19.5" customHeight="1">
      <c r="B2" s="253" t="s">
        <v>284</v>
      </c>
      <c r="C2" s="253"/>
      <c r="D2" s="253"/>
      <c r="E2" s="253"/>
      <c r="F2" s="253"/>
      <c r="G2" s="253"/>
      <c r="H2" s="253"/>
      <c r="I2" s="253"/>
      <c r="J2" s="253"/>
    </row>
    <row r="3" spans="2:10" ht="19.5" customHeight="1">
      <c r="B3" s="254" t="str">
        <f>'Valor da Contratação'!B8</f>
        <v>DESONERADA</v>
      </c>
      <c r="C3" s="254"/>
      <c r="D3" s="254"/>
      <c r="E3" s="254"/>
      <c r="F3" s="254"/>
      <c r="G3" s="254"/>
      <c r="H3" s="254"/>
      <c r="I3" s="254"/>
      <c r="J3" s="254"/>
    </row>
    <row r="4" spans="2:10" ht="15" customHeight="1">
      <c r="B4" s="135"/>
      <c r="C4" s="135"/>
      <c r="D4" s="14"/>
    </row>
    <row r="5" spans="2:10" ht="15" customHeight="1">
      <c r="B5" s="255" t="s">
        <v>285</v>
      </c>
      <c r="C5" s="255"/>
      <c r="D5" s="255"/>
      <c r="E5" s="255"/>
      <c r="F5" s="255"/>
      <c r="G5" s="255"/>
      <c r="H5" s="255"/>
      <c r="I5" s="255"/>
      <c r="J5" s="255"/>
    </row>
    <row r="6" spans="2:10" ht="15" customHeight="1">
      <c r="B6" s="147"/>
      <c r="C6" s="3"/>
      <c r="D6" s="93"/>
      <c r="E6" s="93"/>
      <c r="J6" s="148"/>
    </row>
    <row r="7" spans="2:10" ht="15" customHeight="1">
      <c r="B7" s="256" t="s">
        <v>286</v>
      </c>
      <c r="C7" s="256"/>
      <c r="D7" s="256"/>
      <c r="E7" s="256"/>
      <c r="F7" s="256"/>
      <c r="G7" s="256"/>
      <c r="H7" s="256"/>
      <c r="I7" s="256"/>
      <c r="J7" s="256"/>
    </row>
    <row r="8" spans="2:10" ht="15" customHeight="1">
      <c r="B8" s="149"/>
      <c r="C8" s="150"/>
      <c r="D8" s="93"/>
      <c r="E8" s="93"/>
      <c r="J8" s="148"/>
    </row>
    <row r="9" spans="2:10" ht="15" customHeight="1">
      <c r="B9" s="257" t="s">
        <v>287</v>
      </c>
      <c r="C9" s="257"/>
      <c r="D9" s="257"/>
      <c r="E9" s="257"/>
      <c r="F9" s="257"/>
      <c r="G9" s="257"/>
      <c r="H9" s="257"/>
      <c r="I9" s="257"/>
      <c r="J9" s="257"/>
    </row>
    <row r="10" spans="2:10" ht="15" customHeight="1">
      <c r="B10" s="251" t="s">
        <v>288</v>
      </c>
      <c r="C10" s="251"/>
      <c r="D10" s="251"/>
      <c r="E10" s="251"/>
      <c r="F10" s="251"/>
      <c r="G10" s="251"/>
      <c r="H10" s="251"/>
      <c r="I10" s="251"/>
      <c r="J10" s="251"/>
    </row>
    <row r="11" spans="2:10" ht="15" customHeight="1">
      <c r="B11" s="251" t="s">
        <v>289</v>
      </c>
      <c r="C11" s="251"/>
      <c r="D11" s="251"/>
      <c r="E11" s="251"/>
      <c r="F11" s="251"/>
      <c r="G11" s="251"/>
      <c r="H11" s="251"/>
      <c r="I11" s="251"/>
      <c r="J11" s="251"/>
    </row>
    <row r="12" spans="2:10" ht="15" customHeight="1">
      <c r="B12" s="251" t="s">
        <v>290</v>
      </c>
      <c r="C12" s="251"/>
      <c r="D12" s="251"/>
      <c r="E12" s="251"/>
      <c r="F12" s="251"/>
      <c r="G12" s="251"/>
      <c r="H12" s="251"/>
      <c r="I12" s="251"/>
      <c r="J12" s="251"/>
    </row>
    <row r="13" spans="2:10" ht="15" customHeight="1">
      <c r="B13" s="251" t="s">
        <v>291</v>
      </c>
      <c r="C13" s="251"/>
      <c r="D13" s="251"/>
      <c r="E13" s="251"/>
      <c r="F13" s="251"/>
      <c r="G13" s="251"/>
      <c r="H13" s="251"/>
      <c r="I13" s="251"/>
      <c r="J13" s="251"/>
    </row>
    <row r="14" spans="2:10" ht="15" customHeight="1">
      <c r="B14" s="251" t="s">
        <v>292</v>
      </c>
      <c r="C14" s="251"/>
      <c r="D14" s="251"/>
      <c r="E14" s="251"/>
      <c r="F14" s="251"/>
      <c r="G14" s="251"/>
      <c r="H14" s="251"/>
      <c r="I14" s="251"/>
      <c r="J14" s="251"/>
    </row>
    <row r="15" spans="2:10" ht="15" customHeight="1">
      <c r="B15" s="251" t="s">
        <v>293</v>
      </c>
      <c r="C15" s="251"/>
      <c r="D15" s="251"/>
      <c r="E15" s="251"/>
      <c r="F15" s="251"/>
      <c r="G15" s="251"/>
      <c r="H15" s="251"/>
      <c r="I15" s="251"/>
      <c r="J15" s="251"/>
    </row>
    <row r="16" spans="2:10" ht="15" customHeight="1">
      <c r="B16" s="252" t="s">
        <v>294</v>
      </c>
      <c r="C16" s="252"/>
      <c r="D16" s="252"/>
      <c r="E16" s="252"/>
      <c r="F16" s="252"/>
      <c r="G16" s="252"/>
      <c r="H16" s="252"/>
      <c r="I16" s="252"/>
      <c r="J16" s="252"/>
    </row>
    <row r="17" spans="2:10" ht="24.75" customHeight="1">
      <c r="D17" s="14"/>
    </row>
    <row r="18" spans="2:10" ht="16.5" customHeight="1">
      <c r="B18" s="198" t="s">
        <v>295</v>
      </c>
      <c r="C18" s="198"/>
      <c r="D18" s="151" t="s">
        <v>249</v>
      </c>
      <c r="E18" s="151" t="s">
        <v>249</v>
      </c>
      <c r="F18" s="151" t="s">
        <v>249</v>
      </c>
      <c r="G18" s="152" t="s">
        <v>249</v>
      </c>
      <c r="H18" s="153" t="s">
        <v>249</v>
      </c>
      <c r="I18" s="153" t="s">
        <v>249</v>
      </c>
      <c r="J18" s="153" t="s">
        <v>249</v>
      </c>
    </row>
    <row r="19" spans="2:10" ht="16.5" customHeight="1">
      <c r="B19" s="198"/>
      <c r="C19" s="198"/>
      <c r="D19" s="154">
        <v>0.05</v>
      </c>
      <c r="E19" s="154">
        <v>0.04</v>
      </c>
      <c r="F19" s="154">
        <v>3.5000000000000003E-2</v>
      </c>
      <c r="G19" s="155">
        <v>0.03</v>
      </c>
      <c r="H19" s="156">
        <v>2.5000000000000001E-2</v>
      </c>
      <c r="I19" s="156">
        <v>0.02</v>
      </c>
      <c r="J19" s="156">
        <v>1.4999999999999999E-2</v>
      </c>
    </row>
    <row r="20" spans="2:10" ht="16.5" customHeight="1">
      <c r="B20" s="157" t="s">
        <v>296</v>
      </c>
      <c r="C20" s="158" t="s">
        <v>297</v>
      </c>
      <c r="D20" s="159">
        <v>0.04</v>
      </c>
      <c r="E20" s="159">
        <v>0.04</v>
      </c>
      <c r="F20" s="159">
        <v>0.04</v>
      </c>
      <c r="G20" s="159">
        <v>0.04</v>
      </c>
      <c r="H20" s="159">
        <v>0.04</v>
      </c>
      <c r="I20" s="159">
        <v>0.04</v>
      </c>
      <c r="J20" s="159">
        <v>0.04</v>
      </c>
    </row>
    <row r="21" spans="2:10" ht="16.5" customHeight="1">
      <c r="B21" s="157" t="s">
        <v>298</v>
      </c>
      <c r="C21" s="143" t="s">
        <v>299</v>
      </c>
      <c r="D21" s="160">
        <v>1.23E-2</v>
      </c>
      <c r="E21" s="160">
        <v>1.23E-2</v>
      </c>
      <c r="F21" s="160">
        <v>1.23E-2</v>
      </c>
      <c r="G21" s="160">
        <v>1.23E-2</v>
      </c>
      <c r="H21" s="160">
        <v>1.23E-2</v>
      </c>
      <c r="I21" s="160">
        <v>1.23E-2</v>
      </c>
      <c r="J21" s="160">
        <v>1.23E-2</v>
      </c>
    </row>
    <row r="22" spans="2:10" ht="16.5" customHeight="1">
      <c r="B22" s="157" t="s">
        <v>300</v>
      </c>
      <c r="C22" s="143" t="s">
        <v>301</v>
      </c>
      <c r="D22" s="160">
        <v>8.0000000000000002E-3</v>
      </c>
      <c r="E22" s="160">
        <v>8.0000000000000002E-3</v>
      </c>
      <c r="F22" s="160">
        <v>8.0000000000000002E-3</v>
      </c>
      <c r="G22" s="160">
        <v>8.0000000000000002E-3</v>
      </c>
      <c r="H22" s="160">
        <v>8.0000000000000002E-3</v>
      </c>
      <c r="I22" s="160">
        <v>8.0000000000000002E-3</v>
      </c>
      <c r="J22" s="160">
        <v>8.0000000000000002E-3</v>
      </c>
    </row>
    <row r="23" spans="2:10" ht="16.5" customHeight="1">
      <c r="B23" s="157" t="s">
        <v>302</v>
      </c>
      <c r="C23" s="143" t="s">
        <v>303</v>
      </c>
      <c r="D23" s="160">
        <v>1.2699999999999999E-2</v>
      </c>
      <c r="E23" s="160">
        <v>1.2699999999999999E-2</v>
      </c>
      <c r="F23" s="160">
        <v>1.2699999999999999E-2</v>
      </c>
      <c r="G23" s="160">
        <v>1.2699999999999999E-2</v>
      </c>
      <c r="H23" s="160">
        <v>1.2699999999999999E-2</v>
      </c>
      <c r="I23" s="160">
        <v>1.2699999999999999E-2</v>
      </c>
      <c r="J23" s="160">
        <v>1.2699999999999999E-2</v>
      </c>
    </row>
    <row r="24" spans="2:10" ht="16.5" customHeight="1">
      <c r="B24" s="157" t="s">
        <v>304</v>
      </c>
      <c r="C24" s="143" t="s">
        <v>305</v>
      </c>
      <c r="D24" s="160">
        <v>7.3999999999999996E-2</v>
      </c>
      <c r="E24" s="160">
        <v>7.3999999999999996E-2</v>
      </c>
      <c r="F24" s="160">
        <v>7.3999999999999996E-2</v>
      </c>
      <c r="G24" s="160">
        <v>7.3999999999999996E-2</v>
      </c>
      <c r="H24" s="160">
        <v>7.3999999999999996E-2</v>
      </c>
      <c r="I24" s="160">
        <v>7.3999999999999996E-2</v>
      </c>
      <c r="J24" s="160">
        <v>7.3999999999999996E-2</v>
      </c>
    </row>
    <row r="25" spans="2:10" ht="16.5" customHeight="1">
      <c r="B25" s="248" t="s">
        <v>200</v>
      </c>
      <c r="C25" s="143" t="s">
        <v>306</v>
      </c>
      <c r="D25" s="160">
        <v>6.4999999999999997E-3</v>
      </c>
      <c r="E25" s="160">
        <v>6.4999999999999997E-3</v>
      </c>
      <c r="F25" s="160">
        <v>6.4999999999999997E-3</v>
      </c>
      <c r="G25" s="160">
        <v>6.4999999999999997E-3</v>
      </c>
      <c r="H25" s="160">
        <v>6.4999999999999997E-3</v>
      </c>
      <c r="I25" s="160">
        <v>6.4999999999999997E-3</v>
      </c>
      <c r="J25" s="160">
        <v>6.4999999999999997E-3</v>
      </c>
    </row>
    <row r="26" spans="2:10" ht="16.5" customHeight="1">
      <c r="B26" s="248"/>
      <c r="C26" s="157" t="s">
        <v>307</v>
      </c>
      <c r="D26" s="161">
        <v>0.03</v>
      </c>
      <c r="E26" s="161">
        <v>0.03</v>
      </c>
      <c r="F26" s="161">
        <v>0.03</v>
      </c>
      <c r="G26" s="161">
        <v>0.03</v>
      </c>
      <c r="H26" s="161">
        <v>0.03</v>
      </c>
      <c r="I26" s="161">
        <v>0.03</v>
      </c>
      <c r="J26" s="161">
        <v>0.03</v>
      </c>
    </row>
    <row r="27" spans="2:10" ht="16.5" customHeight="1">
      <c r="B27" s="248"/>
      <c r="C27" s="157" t="s">
        <v>249</v>
      </c>
      <c r="D27" s="161">
        <v>0.05</v>
      </c>
      <c r="E27" s="161">
        <v>0.04</v>
      </c>
      <c r="F27" s="160">
        <v>3.5000000000000003E-2</v>
      </c>
      <c r="G27" s="161">
        <v>0.03</v>
      </c>
      <c r="H27" s="161">
        <v>2.5000000000000001E-2</v>
      </c>
      <c r="I27" s="161">
        <v>0.02</v>
      </c>
      <c r="J27" s="160">
        <v>1.4999999999999999E-2</v>
      </c>
    </row>
    <row r="28" spans="2:10" ht="16.5" customHeight="1">
      <c r="B28" s="248"/>
      <c r="C28" s="157" t="s">
        <v>308</v>
      </c>
      <c r="D28" s="161">
        <v>3.5999999999999997E-2</v>
      </c>
      <c r="E28" s="161">
        <f t="shared" ref="E28:J28" si="0">$D$28</f>
        <v>3.5999999999999997E-2</v>
      </c>
      <c r="F28" s="161">
        <f t="shared" si="0"/>
        <v>3.5999999999999997E-2</v>
      </c>
      <c r="G28" s="161">
        <f t="shared" si="0"/>
        <v>3.5999999999999997E-2</v>
      </c>
      <c r="H28" s="161">
        <f t="shared" si="0"/>
        <v>3.5999999999999997E-2</v>
      </c>
      <c r="I28" s="161">
        <f t="shared" si="0"/>
        <v>3.5999999999999997E-2</v>
      </c>
      <c r="J28" s="161">
        <f t="shared" si="0"/>
        <v>3.5999999999999997E-2</v>
      </c>
    </row>
    <row r="29" spans="2:10" ht="19.5" customHeight="1">
      <c r="B29" s="222" t="s">
        <v>309</v>
      </c>
      <c r="C29" s="222"/>
      <c r="D29" s="162">
        <f t="shared" ref="D29:J29" si="1">(((1+D22+D20+D23)*(1+D21)*(1+D24))/(1-(D25+D26+D27+D28))-1)</f>
        <v>0.31419243206837622</v>
      </c>
      <c r="E29" s="162">
        <f t="shared" si="1"/>
        <v>0.29938463001690141</v>
      </c>
      <c r="F29" s="162">
        <f t="shared" si="1"/>
        <v>0.29210516430252098</v>
      </c>
      <c r="G29" s="162">
        <f t="shared" si="1"/>
        <v>0.28490680684122571</v>
      </c>
      <c r="H29" s="162">
        <f t="shared" si="1"/>
        <v>0.27778820957340722</v>
      </c>
      <c r="I29" s="162">
        <f t="shared" si="1"/>
        <v>0.27074805414876035</v>
      </c>
      <c r="J29" s="162">
        <f t="shared" si="1"/>
        <v>0.26378505111232875</v>
      </c>
    </row>
    <row r="30" spans="2:10" ht="19.5" customHeight="1">
      <c r="B30" s="247" t="s">
        <v>310</v>
      </c>
      <c r="C30" s="247"/>
      <c r="D30" s="163">
        <f t="shared" ref="D30:J30" si="2">ROUND(D29,4)</f>
        <v>0.31419999999999998</v>
      </c>
      <c r="E30" s="163">
        <f t="shared" si="2"/>
        <v>0.2994</v>
      </c>
      <c r="F30" s="163">
        <f t="shared" si="2"/>
        <v>0.29210000000000003</v>
      </c>
      <c r="G30" s="163">
        <f t="shared" si="2"/>
        <v>0.28489999999999999</v>
      </c>
      <c r="H30" s="163">
        <f t="shared" si="2"/>
        <v>0.27779999999999999</v>
      </c>
      <c r="I30" s="163">
        <f t="shared" si="2"/>
        <v>0.2707</v>
      </c>
      <c r="J30" s="163">
        <f t="shared" si="2"/>
        <v>0.26379999999999998</v>
      </c>
    </row>
    <row r="31" spans="2:10" ht="24.75" customHeight="1">
      <c r="B31" s="164"/>
      <c r="C31" s="164"/>
      <c r="D31" s="67"/>
      <c r="E31" s="67"/>
      <c r="F31" s="67"/>
      <c r="G31" s="67"/>
      <c r="H31" s="67"/>
      <c r="I31" s="67"/>
      <c r="J31" s="67"/>
    </row>
    <row r="32" spans="2:10" ht="16.5" customHeight="1">
      <c r="B32" s="198" t="s">
        <v>311</v>
      </c>
      <c r="C32" s="198"/>
      <c r="D32" s="151" t="s">
        <v>249</v>
      </c>
      <c r="E32" s="151" t="s">
        <v>249</v>
      </c>
      <c r="F32" s="151" t="s">
        <v>249</v>
      </c>
      <c r="G32" s="152" t="s">
        <v>249</v>
      </c>
      <c r="H32" s="153" t="s">
        <v>249</v>
      </c>
      <c r="I32" s="153" t="s">
        <v>249</v>
      </c>
      <c r="J32" s="153" t="s">
        <v>249</v>
      </c>
    </row>
    <row r="33" spans="2:10" ht="16.5" customHeight="1">
      <c r="B33" s="198"/>
      <c r="C33" s="198"/>
      <c r="D33" s="154">
        <v>0.05</v>
      </c>
      <c r="E33" s="154">
        <v>0.04</v>
      </c>
      <c r="F33" s="154">
        <v>3.5000000000000003E-2</v>
      </c>
      <c r="G33" s="155">
        <v>0.03</v>
      </c>
      <c r="H33" s="156">
        <v>2.5000000000000001E-2</v>
      </c>
      <c r="I33" s="156">
        <v>0.02</v>
      </c>
      <c r="J33" s="156">
        <v>1.4999999999999999E-2</v>
      </c>
    </row>
    <row r="34" spans="2:10" ht="16.5" customHeight="1">
      <c r="B34" s="157" t="s">
        <v>296</v>
      </c>
      <c r="C34" s="158" t="s">
        <v>297</v>
      </c>
      <c r="D34" s="160">
        <v>3.4500000000000003E-2</v>
      </c>
      <c r="E34" s="160">
        <v>3.4500000000000003E-2</v>
      </c>
      <c r="F34" s="160">
        <v>3.4500000000000003E-2</v>
      </c>
      <c r="G34" s="160">
        <v>3.4500000000000003E-2</v>
      </c>
      <c r="H34" s="160">
        <v>3.4500000000000003E-2</v>
      </c>
      <c r="I34" s="160">
        <v>3.4500000000000003E-2</v>
      </c>
      <c r="J34" s="160">
        <v>3.4500000000000003E-2</v>
      </c>
    </row>
    <row r="35" spans="2:10" ht="16.5" customHeight="1">
      <c r="B35" s="157" t="s">
        <v>298</v>
      </c>
      <c r="C35" s="143" t="s">
        <v>299</v>
      </c>
      <c r="D35" s="160">
        <v>8.5000000000000006E-3</v>
      </c>
      <c r="E35" s="160">
        <v>8.5000000000000006E-3</v>
      </c>
      <c r="F35" s="160">
        <v>8.5000000000000006E-3</v>
      </c>
      <c r="G35" s="160">
        <v>8.5000000000000006E-3</v>
      </c>
      <c r="H35" s="160">
        <v>8.5000000000000006E-3</v>
      </c>
      <c r="I35" s="160">
        <v>8.5000000000000006E-3</v>
      </c>
      <c r="J35" s="160">
        <v>8.5000000000000006E-3</v>
      </c>
    </row>
    <row r="36" spans="2:10" ht="16.5" customHeight="1">
      <c r="B36" s="157" t="s">
        <v>300</v>
      </c>
      <c r="C36" s="143" t="s">
        <v>301</v>
      </c>
      <c r="D36" s="160">
        <v>4.7999999999999996E-3</v>
      </c>
      <c r="E36" s="160">
        <v>4.7999999999999996E-3</v>
      </c>
      <c r="F36" s="160">
        <v>4.7999999999999996E-3</v>
      </c>
      <c r="G36" s="160">
        <v>4.7999999999999996E-3</v>
      </c>
      <c r="H36" s="160">
        <v>4.7999999999999996E-3</v>
      </c>
      <c r="I36" s="160">
        <v>4.7999999999999996E-3</v>
      </c>
      <c r="J36" s="160">
        <v>4.7999999999999996E-3</v>
      </c>
    </row>
    <row r="37" spans="2:10" ht="16.5" customHeight="1">
      <c r="B37" s="157" t="s">
        <v>302</v>
      </c>
      <c r="C37" s="143" t="s">
        <v>303</v>
      </c>
      <c r="D37" s="160">
        <v>8.5000000000000006E-3</v>
      </c>
      <c r="E37" s="160">
        <v>8.5000000000000006E-3</v>
      </c>
      <c r="F37" s="160">
        <v>8.5000000000000006E-3</v>
      </c>
      <c r="G37" s="160">
        <v>8.5000000000000006E-3</v>
      </c>
      <c r="H37" s="160">
        <v>8.5000000000000006E-3</v>
      </c>
      <c r="I37" s="160">
        <v>8.5000000000000006E-3</v>
      </c>
      <c r="J37" s="160">
        <v>8.5000000000000006E-3</v>
      </c>
    </row>
    <row r="38" spans="2:10" ht="16.5" customHeight="1">
      <c r="B38" s="157" t="s">
        <v>304</v>
      </c>
      <c r="C38" s="143" t="s">
        <v>305</v>
      </c>
      <c r="D38" s="160">
        <v>5.11E-2</v>
      </c>
      <c r="E38" s="160">
        <v>5.11E-2</v>
      </c>
      <c r="F38" s="160">
        <v>5.11E-2</v>
      </c>
      <c r="G38" s="160">
        <v>5.11E-2</v>
      </c>
      <c r="H38" s="160">
        <v>5.11E-2</v>
      </c>
      <c r="I38" s="160">
        <v>5.11E-2</v>
      </c>
      <c r="J38" s="160">
        <v>5.11E-2</v>
      </c>
    </row>
    <row r="39" spans="2:10" ht="16.5" customHeight="1">
      <c r="B39" s="248" t="s">
        <v>200</v>
      </c>
      <c r="C39" s="143" t="s">
        <v>306</v>
      </c>
      <c r="D39" s="160">
        <v>6.4999999999999997E-3</v>
      </c>
      <c r="E39" s="160">
        <v>6.4999999999999997E-3</v>
      </c>
      <c r="F39" s="160">
        <v>6.4999999999999997E-3</v>
      </c>
      <c r="G39" s="160">
        <v>6.4999999999999997E-3</v>
      </c>
      <c r="H39" s="160">
        <v>6.4999999999999997E-3</v>
      </c>
      <c r="I39" s="160">
        <v>6.4999999999999997E-3</v>
      </c>
      <c r="J39" s="160">
        <v>6.4999999999999997E-3</v>
      </c>
    </row>
    <row r="40" spans="2:10" ht="16.5" customHeight="1">
      <c r="B40" s="248"/>
      <c r="C40" s="157" t="s">
        <v>307</v>
      </c>
      <c r="D40" s="161">
        <v>0.03</v>
      </c>
      <c r="E40" s="161">
        <v>0.03</v>
      </c>
      <c r="F40" s="161">
        <v>0.03</v>
      </c>
      <c r="G40" s="161">
        <v>0.03</v>
      </c>
      <c r="H40" s="161">
        <v>0.03</v>
      </c>
      <c r="I40" s="161">
        <v>0.03</v>
      </c>
      <c r="J40" s="161">
        <v>0.03</v>
      </c>
    </row>
    <row r="41" spans="2:10" ht="16.5" customHeight="1">
      <c r="B41" s="248"/>
      <c r="C41" s="157" t="s">
        <v>249</v>
      </c>
      <c r="D41" s="161">
        <v>0</v>
      </c>
      <c r="E41" s="161">
        <v>0</v>
      </c>
      <c r="F41" s="160">
        <v>0</v>
      </c>
      <c r="G41" s="161">
        <v>0</v>
      </c>
      <c r="H41" s="161">
        <v>0</v>
      </c>
      <c r="I41" s="161">
        <v>0</v>
      </c>
      <c r="J41" s="160">
        <v>0</v>
      </c>
    </row>
    <row r="42" spans="2:10" ht="16.5" customHeight="1">
      <c r="B42" s="248"/>
      <c r="C42" s="157" t="s">
        <v>308</v>
      </c>
      <c r="D42" s="161">
        <f>D28</f>
        <v>3.5999999999999997E-2</v>
      </c>
      <c r="E42" s="161">
        <f t="shared" ref="E42:J42" si="3">$D$42</f>
        <v>3.5999999999999997E-2</v>
      </c>
      <c r="F42" s="161">
        <f t="shared" si="3"/>
        <v>3.5999999999999997E-2</v>
      </c>
      <c r="G42" s="161">
        <f t="shared" si="3"/>
        <v>3.5999999999999997E-2</v>
      </c>
      <c r="H42" s="161">
        <f t="shared" si="3"/>
        <v>3.5999999999999997E-2</v>
      </c>
      <c r="I42" s="161">
        <f t="shared" si="3"/>
        <v>3.5999999999999997E-2</v>
      </c>
      <c r="J42" s="161">
        <f t="shared" si="3"/>
        <v>3.5999999999999997E-2</v>
      </c>
    </row>
    <row r="43" spans="2:10" ht="16.5" customHeight="1">
      <c r="B43" s="249" t="s">
        <v>309</v>
      </c>
      <c r="C43" s="249"/>
      <c r="D43" s="162">
        <f t="shared" ref="D43:J43" si="4">(((1+D36+D34+D37)*(1+D35)*(1+D38))/(1-(D39+D40+D41+D42))-1)</f>
        <v>0.19752451960107775</v>
      </c>
      <c r="E43" s="162">
        <f t="shared" si="4"/>
        <v>0.19752451960107775</v>
      </c>
      <c r="F43" s="162">
        <f t="shared" si="4"/>
        <v>0.19752451960107775</v>
      </c>
      <c r="G43" s="162">
        <f t="shared" si="4"/>
        <v>0.19752451960107775</v>
      </c>
      <c r="H43" s="162">
        <f t="shared" si="4"/>
        <v>0.19752451960107775</v>
      </c>
      <c r="I43" s="162">
        <f t="shared" si="4"/>
        <v>0.19752451960107775</v>
      </c>
      <c r="J43" s="162">
        <f t="shared" si="4"/>
        <v>0.19752451960107775</v>
      </c>
    </row>
    <row r="44" spans="2:10" ht="19.5" customHeight="1">
      <c r="B44" s="250" t="s">
        <v>310</v>
      </c>
      <c r="C44" s="250"/>
      <c r="D44" s="163">
        <f t="shared" ref="D44:J44" si="5">ROUND(D43,4)</f>
        <v>0.19750000000000001</v>
      </c>
      <c r="E44" s="163">
        <f t="shared" si="5"/>
        <v>0.19750000000000001</v>
      </c>
      <c r="F44" s="163">
        <f t="shared" si="5"/>
        <v>0.19750000000000001</v>
      </c>
      <c r="G44" s="163">
        <f t="shared" si="5"/>
        <v>0.19750000000000001</v>
      </c>
      <c r="H44" s="163">
        <f t="shared" si="5"/>
        <v>0.19750000000000001</v>
      </c>
      <c r="I44" s="163">
        <f t="shared" si="5"/>
        <v>0.19750000000000001</v>
      </c>
      <c r="J44" s="163">
        <f t="shared" si="5"/>
        <v>0.19750000000000001</v>
      </c>
    </row>
    <row r="65540" ht="12.75" customHeight="1"/>
    <row r="65541" ht="12.75" customHeight="1"/>
  </sheetData>
  <mergeCells count="20">
    <mergeCell ref="B2:J2"/>
    <mergeCell ref="B3:J3"/>
    <mergeCell ref="B5:J5"/>
    <mergeCell ref="B7:J7"/>
    <mergeCell ref="B9:J9"/>
    <mergeCell ref="B10:J10"/>
    <mergeCell ref="B11:J11"/>
    <mergeCell ref="B12:J12"/>
    <mergeCell ref="B13:J13"/>
    <mergeCell ref="B14:J14"/>
    <mergeCell ref="B15:J15"/>
    <mergeCell ref="B16:J16"/>
    <mergeCell ref="B18:C19"/>
    <mergeCell ref="B25:B28"/>
    <mergeCell ref="B29:C29"/>
    <mergeCell ref="B30:C30"/>
    <mergeCell ref="B32:C33"/>
    <mergeCell ref="B39:B42"/>
    <mergeCell ref="B43:C43"/>
    <mergeCell ref="B44:C44"/>
  </mergeCells>
  <printOptions horizontalCentered="1"/>
  <pageMargins left="0.25486111111111098" right="0.240972222222222" top="0.49583333333333302" bottom="0.33333333333333298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FF"/>
  </sheetPr>
  <dimension ref="B1:IP40"/>
  <sheetViews>
    <sheetView showGridLines="0" zoomScaleNormal="100" workbookViewId="0">
      <selection activeCell="K13" sqref="K13"/>
    </sheetView>
  </sheetViews>
  <sheetFormatPr defaultColWidth="10.5" defaultRowHeight="14.25"/>
  <cols>
    <col min="1" max="1" width="5.625" customWidth="1"/>
    <col min="2" max="2" width="33.375" style="11" customWidth="1"/>
    <col min="3" max="4" width="14.75" style="11" customWidth="1"/>
    <col min="5" max="5" width="15.625" style="11" customWidth="1"/>
    <col min="6" max="6" width="13.75" style="11" customWidth="1"/>
    <col min="7" max="7" width="14.875" style="11" customWidth="1"/>
    <col min="8" max="8" width="14.375" style="11" customWidth="1"/>
    <col min="9" max="9" width="14" style="12" customWidth="1"/>
    <col min="10" max="10" width="14.875" style="11" customWidth="1"/>
    <col min="11" max="249" width="10.625" style="11" customWidth="1"/>
    <col min="1020" max="1024" width="8.5" customWidth="1"/>
  </cols>
  <sheetData>
    <row r="1" spans="2:250" ht="15" customHeight="1"/>
    <row r="2" spans="2:250" ht="24.75" customHeight="1">
      <c r="B2" s="197" t="str">
        <f>"PLANILHA RESUMO "&amp;'Valor da Contratação'!B7&amp;""</f>
        <v>PLANILHA RESUMO POLO II</v>
      </c>
      <c r="C2" s="197"/>
      <c r="D2" s="197"/>
      <c r="E2" s="197"/>
      <c r="F2" s="197"/>
      <c r="G2" s="197"/>
      <c r="H2" s="197"/>
      <c r="I2" s="197"/>
      <c r="J2" s="13"/>
    </row>
    <row r="3" spans="2:250" ht="15" customHeight="1">
      <c r="B3" s="3"/>
      <c r="H3" s="3"/>
      <c r="I3" s="14"/>
    </row>
    <row r="4" spans="2:250" ht="46.5" customHeight="1">
      <c r="B4" s="15" t="s">
        <v>13</v>
      </c>
      <c r="C4" s="15" t="s">
        <v>14</v>
      </c>
      <c r="D4" s="15" t="s">
        <v>15</v>
      </c>
      <c r="E4" s="15" t="s">
        <v>16</v>
      </c>
      <c r="F4" s="15" t="s">
        <v>17</v>
      </c>
      <c r="G4" s="15" t="s">
        <v>18</v>
      </c>
      <c r="H4" s="15" t="s">
        <v>19</v>
      </c>
      <c r="I4" s="15" t="s">
        <v>20</v>
      </c>
    </row>
    <row r="5" spans="2:250" ht="19.5" customHeight="1">
      <c r="B5" s="16" t="s">
        <v>21</v>
      </c>
      <c r="C5" s="17">
        <f>'Base Londrina'!C22</f>
        <v>18068.29</v>
      </c>
      <c r="D5" s="18">
        <f>'Base Londrina'!AT10</f>
        <v>20251.988950298062</v>
      </c>
      <c r="E5" s="18">
        <f>D5*12</f>
        <v>243023.86740357673</v>
      </c>
      <c r="F5" s="18">
        <f>'Base Londrina'!AT12</f>
        <v>60755.966850894198</v>
      </c>
      <c r="G5" s="18">
        <f>F5*12</f>
        <v>729071.60221073031</v>
      </c>
      <c r="H5" s="18">
        <f>D5+F5</f>
        <v>81007.955801192264</v>
      </c>
      <c r="I5" s="18">
        <f>H5*12</f>
        <v>972095.46961430716</v>
      </c>
    </row>
    <row r="6" spans="2:250" ht="19.5" customHeight="1">
      <c r="B6" s="16" t="s">
        <v>22</v>
      </c>
      <c r="C6" s="17">
        <f>'Base Guarapuava'!C17</f>
        <v>10295.539999999999</v>
      </c>
      <c r="D6" s="18">
        <f>'Base Guarapuava'!AT10</f>
        <v>16660.863272785202</v>
      </c>
      <c r="E6" s="18">
        <f>D6*12</f>
        <v>199930.35927342242</v>
      </c>
      <c r="F6" s="18">
        <f>'Base Guarapuava'!AT12</f>
        <v>49982.589818355606</v>
      </c>
      <c r="G6" s="18">
        <f>F6*12</f>
        <v>599791.0778202673</v>
      </c>
      <c r="H6" s="18">
        <f>D6+F6</f>
        <v>66643.453091140807</v>
      </c>
      <c r="I6" s="18">
        <f>H6*12</f>
        <v>799721.43709368969</v>
      </c>
    </row>
    <row r="7" spans="2:250" ht="19.5" customHeight="1">
      <c r="B7" s="19" t="str">
        <f>"TOTAL "&amp;'Valor da Contratação'!B7&amp;""</f>
        <v>TOTAL POLO II</v>
      </c>
      <c r="C7" s="20">
        <f>SUM(C5:C6)</f>
        <v>28363.83</v>
      </c>
      <c r="D7" s="180">
        <f t="shared" ref="D7:I7" si="0">SUM(D5:D6)</f>
        <v>36912.85222308326</v>
      </c>
      <c r="E7" s="180">
        <f t="shared" si="0"/>
        <v>442954.22667699913</v>
      </c>
      <c r="F7" s="180">
        <f t="shared" si="0"/>
        <v>110738.55666924981</v>
      </c>
      <c r="G7" s="180">
        <f t="shared" si="0"/>
        <v>1328862.6800309976</v>
      </c>
      <c r="H7" s="180">
        <f t="shared" si="0"/>
        <v>147651.40889233307</v>
      </c>
      <c r="I7" s="180">
        <f t="shared" si="0"/>
        <v>1771816.906707997</v>
      </c>
      <c r="J7" s="21"/>
    </row>
    <row r="8" spans="2:250" ht="24.75" customHeight="1">
      <c r="B8" s="3"/>
      <c r="C8" s="3"/>
      <c r="D8" s="3"/>
      <c r="E8" s="3"/>
      <c r="F8" s="3"/>
      <c r="G8" s="22"/>
      <c r="H8" s="3"/>
      <c r="I8" s="14"/>
    </row>
    <row r="9" spans="2:250" s="23" customFormat="1" ht="27" customHeight="1">
      <c r="B9" s="198" t="str">
        <f>"BASE "&amp;B5</f>
        <v>BASE LONDRINA</v>
      </c>
      <c r="C9" s="199" t="s">
        <v>23</v>
      </c>
      <c r="D9" s="199"/>
      <c r="E9" s="199"/>
      <c r="F9" s="199" t="s">
        <v>24</v>
      </c>
      <c r="G9" s="199"/>
      <c r="H9" s="199"/>
      <c r="I9" s="2" t="s">
        <v>25</v>
      </c>
      <c r="IP9" s="24"/>
    </row>
    <row r="10" spans="2:250" s="23" customFormat="1" ht="22.5" customHeight="1">
      <c r="B10" s="198"/>
      <c r="C10" s="25" t="s">
        <v>26</v>
      </c>
      <c r="D10" s="25" t="s">
        <v>27</v>
      </c>
      <c r="E10" s="25" t="s">
        <v>28</v>
      </c>
      <c r="F10" s="26" t="s">
        <v>26</v>
      </c>
      <c r="G10" s="26" t="s">
        <v>27</v>
      </c>
      <c r="H10" s="26" t="s">
        <v>28</v>
      </c>
      <c r="I10" s="26" t="s">
        <v>29</v>
      </c>
      <c r="IP10" s="24"/>
    </row>
    <row r="11" spans="2:250" ht="16.5" customHeight="1">
      <c r="B11" s="16" t="str">
        <f>'Base Londrina'!B7</f>
        <v>APS ADJ LONDRINA</v>
      </c>
      <c r="C11" s="18">
        <f>'Base Londrina'!AO7</f>
        <v>912.09153583828083</v>
      </c>
      <c r="D11" s="18">
        <f t="shared" ref="D11:D22" si="1">C11*3</f>
        <v>2736.2746075148425</v>
      </c>
      <c r="E11" s="18">
        <f t="shared" ref="E11:E22" si="2">C11+D11</f>
        <v>3648.3661433531233</v>
      </c>
      <c r="F11" s="18">
        <f t="shared" ref="F11:F22" si="3">C11*12</f>
        <v>10945.09843005937</v>
      </c>
      <c r="G11" s="18">
        <f t="shared" ref="G11:G22" si="4">F11*3</f>
        <v>32835.29529017811</v>
      </c>
      <c r="H11" s="18">
        <f t="shared" ref="H11:H22" si="5">F11+G11</f>
        <v>43780.39372023748</v>
      </c>
      <c r="I11" s="27">
        <f t="shared" ref="I11:I22" si="6">F11/$E$7</f>
        <v>2.4709321575207596E-2</v>
      </c>
    </row>
    <row r="12" spans="2:250" ht="16.5" customHeight="1">
      <c r="B12" s="16" t="str">
        <f>'Base Londrina'!B8</f>
        <v>APS ANDIRÁ</v>
      </c>
      <c r="C12" s="18">
        <f>'Base Londrina'!AO8</f>
        <v>1159.7655089673792</v>
      </c>
      <c r="D12" s="18">
        <f t="shared" si="1"/>
        <v>3479.2965269021379</v>
      </c>
      <c r="E12" s="18">
        <f t="shared" si="2"/>
        <v>4639.0620358695169</v>
      </c>
      <c r="F12" s="18">
        <f t="shared" si="3"/>
        <v>13917.186107608552</v>
      </c>
      <c r="G12" s="18">
        <f t="shared" si="4"/>
        <v>41751.558322825658</v>
      </c>
      <c r="H12" s="18">
        <f t="shared" si="5"/>
        <v>55668.744430434206</v>
      </c>
      <c r="I12" s="27">
        <f t="shared" si="6"/>
        <v>3.1419016389151469E-2</v>
      </c>
    </row>
    <row r="13" spans="2:250" ht="16.5" customHeight="1">
      <c r="B13" s="16" t="str">
        <f>'Base Londrina'!B9</f>
        <v>APS APUCARANA</v>
      </c>
      <c r="C13" s="18">
        <f>'Base Londrina'!AO9</f>
        <v>1637.8844753847588</v>
      </c>
      <c r="D13" s="18">
        <f t="shared" si="1"/>
        <v>4913.6534261542765</v>
      </c>
      <c r="E13" s="18">
        <f t="shared" si="2"/>
        <v>6551.5379015390354</v>
      </c>
      <c r="F13" s="18">
        <f t="shared" si="3"/>
        <v>19654.613704617106</v>
      </c>
      <c r="G13" s="18">
        <f t="shared" si="4"/>
        <v>58963.841113851318</v>
      </c>
      <c r="H13" s="18">
        <f t="shared" si="5"/>
        <v>78618.454818468424</v>
      </c>
      <c r="I13" s="27">
        <f t="shared" si="6"/>
        <v>4.4371658561798061E-2</v>
      </c>
    </row>
    <row r="14" spans="2:250" ht="16.5" customHeight="1">
      <c r="B14" s="16" t="str">
        <f>'Base Londrina'!B10</f>
        <v>APS ARAPONGAS</v>
      </c>
      <c r="C14" s="18">
        <f>'Base Londrina'!AO10</f>
        <v>1060.5767015581976</v>
      </c>
      <c r="D14" s="18">
        <f t="shared" si="1"/>
        <v>3181.7301046745924</v>
      </c>
      <c r="E14" s="18">
        <f t="shared" si="2"/>
        <v>4242.3068062327902</v>
      </c>
      <c r="F14" s="18">
        <f t="shared" si="3"/>
        <v>12726.92041869837</v>
      </c>
      <c r="G14" s="18">
        <f t="shared" si="4"/>
        <v>38180.761256095109</v>
      </c>
      <c r="H14" s="18">
        <f t="shared" si="5"/>
        <v>50907.681674793479</v>
      </c>
      <c r="I14" s="27">
        <f t="shared" si="6"/>
        <v>2.8731908744103262E-2</v>
      </c>
    </row>
    <row r="15" spans="2:250" ht="16.5" customHeight="1">
      <c r="B15" s="16" t="str">
        <f>'Base Londrina'!B11</f>
        <v>APS BANDEIRANTES</v>
      </c>
      <c r="C15" s="18">
        <f>'Base Londrina'!AO11</f>
        <v>1282.1372601067578</v>
      </c>
      <c r="D15" s="18">
        <f t="shared" si="1"/>
        <v>3846.4117803202735</v>
      </c>
      <c r="E15" s="18">
        <f t="shared" si="2"/>
        <v>5128.5490404270313</v>
      </c>
      <c r="F15" s="18">
        <f t="shared" si="3"/>
        <v>15385.647121281094</v>
      </c>
      <c r="G15" s="18">
        <f t="shared" si="4"/>
        <v>46156.941363843282</v>
      </c>
      <c r="H15" s="18">
        <f t="shared" si="5"/>
        <v>61542.588485124375</v>
      </c>
      <c r="I15" s="27">
        <f t="shared" si="6"/>
        <v>3.4734169344545526E-2</v>
      </c>
    </row>
    <row r="16" spans="2:250" ht="16.5" customHeight="1">
      <c r="B16" s="16" t="str">
        <f>'Base Londrina'!B12</f>
        <v>APS CAMBARÁ</v>
      </c>
      <c r="C16" s="18">
        <f>'Base Londrina'!AO12</f>
        <v>1159.7655089673792</v>
      </c>
      <c r="D16" s="18">
        <f t="shared" si="1"/>
        <v>3479.2965269021379</v>
      </c>
      <c r="E16" s="18">
        <f t="shared" si="2"/>
        <v>4639.0620358695169</v>
      </c>
      <c r="F16" s="18">
        <f t="shared" si="3"/>
        <v>13917.186107608552</v>
      </c>
      <c r="G16" s="18">
        <f t="shared" si="4"/>
        <v>41751.558322825658</v>
      </c>
      <c r="H16" s="18">
        <f t="shared" si="5"/>
        <v>55668.744430434206</v>
      </c>
      <c r="I16" s="27">
        <f t="shared" si="6"/>
        <v>3.1419016389151469E-2</v>
      </c>
    </row>
    <row r="17" spans="2:9" ht="16.5" customHeight="1">
      <c r="B17" s="16" t="str">
        <f>'Base Londrina'!B13</f>
        <v>APS CAMBÉ</v>
      </c>
      <c r="C17" s="18">
        <f>'Base Londrina'!AO13</f>
        <v>982.71497487729209</v>
      </c>
      <c r="D17" s="18">
        <f t="shared" si="1"/>
        <v>2948.1449246318762</v>
      </c>
      <c r="E17" s="18">
        <f t="shared" si="2"/>
        <v>3930.8598995091684</v>
      </c>
      <c r="F17" s="18">
        <f t="shared" si="3"/>
        <v>11792.579698527505</v>
      </c>
      <c r="G17" s="18">
        <f t="shared" si="4"/>
        <v>35377.73909558251</v>
      </c>
      <c r="H17" s="18">
        <f t="shared" si="5"/>
        <v>47170.318794110019</v>
      </c>
      <c r="I17" s="27">
        <f t="shared" si="6"/>
        <v>2.6622569530477959E-2</v>
      </c>
    </row>
    <row r="18" spans="2:9" ht="16.5" customHeight="1">
      <c r="B18" s="16" t="str">
        <f>'Base Londrina'!B14</f>
        <v>APS CORNÉLIO PROCÓPIO</v>
      </c>
      <c r="C18" s="18">
        <f>'Base Londrina'!AO14</f>
        <v>1763.7461780316989</v>
      </c>
      <c r="D18" s="18">
        <f t="shared" si="1"/>
        <v>5291.2385340950968</v>
      </c>
      <c r="E18" s="18">
        <f t="shared" si="2"/>
        <v>7054.9847121267958</v>
      </c>
      <c r="F18" s="18">
        <f t="shared" si="3"/>
        <v>21164.954136380387</v>
      </c>
      <c r="G18" s="18">
        <f t="shared" si="4"/>
        <v>63494.862409141162</v>
      </c>
      <c r="H18" s="18">
        <f t="shared" si="5"/>
        <v>84659.816545521549</v>
      </c>
      <c r="I18" s="27">
        <f t="shared" si="6"/>
        <v>4.7781357218685733E-2</v>
      </c>
    </row>
    <row r="19" spans="2:9" ht="16.5" customHeight="1">
      <c r="B19" s="16" t="str">
        <f>'Base Londrina'!B15</f>
        <v>APS JACAREZINHO</v>
      </c>
      <c r="C19" s="18">
        <f>'Base Londrina'!AO15</f>
        <v>1906.0451957588712</v>
      </c>
      <c r="D19" s="18">
        <f t="shared" si="1"/>
        <v>5718.1355872766135</v>
      </c>
      <c r="E19" s="18">
        <f t="shared" si="2"/>
        <v>7624.1807830354846</v>
      </c>
      <c r="F19" s="18">
        <f t="shared" si="3"/>
        <v>22872.542349106454</v>
      </c>
      <c r="G19" s="18">
        <f t="shared" si="4"/>
        <v>68617.627047319358</v>
      </c>
      <c r="H19" s="18">
        <f t="shared" si="5"/>
        <v>91490.169396425816</v>
      </c>
      <c r="I19" s="27">
        <f t="shared" si="6"/>
        <v>5.1636356471173359E-2</v>
      </c>
    </row>
    <row r="20" spans="2:9" ht="16.5" customHeight="1">
      <c r="B20" s="16" t="str">
        <f>'Base Londrina'!B16</f>
        <v>APS LONDRINA-CENTRO</v>
      </c>
      <c r="C20" s="18">
        <f>'Base Londrina'!AO16</f>
        <v>1387.1891416425026</v>
      </c>
      <c r="D20" s="18">
        <f t="shared" si="1"/>
        <v>4161.567424927508</v>
      </c>
      <c r="E20" s="18">
        <f t="shared" si="2"/>
        <v>5548.7565665700104</v>
      </c>
      <c r="F20" s="18">
        <f t="shared" si="3"/>
        <v>16646.269699710032</v>
      </c>
      <c r="G20" s="18">
        <f t="shared" si="4"/>
        <v>49938.8090991301</v>
      </c>
      <c r="H20" s="18">
        <f t="shared" si="5"/>
        <v>66585.078798840128</v>
      </c>
      <c r="I20" s="27">
        <f t="shared" si="6"/>
        <v>3.7580112565103574E-2</v>
      </c>
    </row>
    <row r="21" spans="2:9" ht="16.5" customHeight="1">
      <c r="B21" s="16" t="str">
        <f>'Base Londrina'!B17</f>
        <v>APS LONDRINA-SHANGRILÁ</v>
      </c>
      <c r="C21" s="18">
        <f>'Base Londrina'!AO17</f>
        <v>1243.9933748863721</v>
      </c>
      <c r="D21" s="18">
        <f t="shared" si="1"/>
        <v>3731.980124659116</v>
      </c>
      <c r="E21" s="18">
        <f t="shared" si="2"/>
        <v>4975.9734995454883</v>
      </c>
      <c r="F21" s="18">
        <f t="shared" si="3"/>
        <v>14927.920498636464</v>
      </c>
      <c r="G21" s="18">
        <f t="shared" si="4"/>
        <v>44783.761495909392</v>
      </c>
      <c r="H21" s="18">
        <f t="shared" si="5"/>
        <v>59711.681994545856</v>
      </c>
      <c r="I21" s="27">
        <f t="shared" si="6"/>
        <v>3.37008196323677E-2</v>
      </c>
    </row>
    <row r="22" spans="2:9" ht="16.5" customHeight="1">
      <c r="B22" s="16" t="str">
        <f>'Base Londrina'!B18</f>
        <v>APS ROLÂNDIA</v>
      </c>
      <c r="C22" s="18">
        <f>'Base Londrina'!AO18</f>
        <v>1421.9785347918043</v>
      </c>
      <c r="D22" s="18">
        <f t="shared" si="1"/>
        <v>4265.9356043754133</v>
      </c>
      <c r="E22" s="18">
        <f t="shared" si="2"/>
        <v>5687.9141391672174</v>
      </c>
      <c r="F22" s="18">
        <f t="shared" si="3"/>
        <v>17063.742417501653</v>
      </c>
      <c r="G22" s="18">
        <f t="shared" si="4"/>
        <v>51191.227252504963</v>
      </c>
      <c r="H22" s="18">
        <f t="shared" si="5"/>
        <v>68254.969670006612</v>
      </c>
      <c r="I22" s="27">
        <f t="shared" si="6"/>
        <v>3.8522586285071124E-2</v>
      </c>
    </row>
    <row r="23" spans="2:9" ht="16.5" customHeight="1">
      <c r="B23" s="16" t="str">
        <f>'Base Londrina'!B19</f>
        <v>APS SANTO ANTÔNIO DA PLATINA</v>
      </c>
      <c r="C23" s="18">
        <f>'Base Londrina'!AO19</f>
        <v>1253.4960052174417</v>
      </c>
      <c r="D23" s="18">
        <f t="shared" ref="D23:D25" si="7">C23*3</f>
        <v>3760.488015652325</v>
      </c>
      <c r="E23" s="18">
        <f t="shared" ref="E23:E25" si="8">C23+D23</f>
        <v>5013.9840208697669</v>
      </c>
      <c r="F23" s="18">
        <f t="shared" ref="F23:F25" si="9">C23*12</f>
        <v>15041.9520626093</v>
      </c>
      <c r="G23" s="18">
        <f t="shared" ref="G23:G25" si="10">F23*3</f>
        <v>45125.8561878279</v>
      </c>
      <c r="H23" s="18">
        <f t="shared" ref="H23:H25" si="11">F23+G23</f>
        <v>60167.8082504372</v>
      </c>
      <c r="I23" s="27">
        <f t="shared" ref="I23:I25" si="12">F23/$E$7</f>
        <v>3.395825382557608E-2</v>
      </c>
    </row>
    <row r="24" spans="2:9" ht="16.5" customHeight="1">
      <c r="B24" s="16" t="str">
        <f>'Base Londrina'!B20</f>
        <v>GEX LONDRINA</v>
      </c>
      <c r="C24" s="18">
        <f>'Base Londrina'!AO20</f>
        <v>1507.339457410096</v>
      </c>
      <c r="D24" s="18">
        <f t="shared" si="7"/>
        <v>4522.0183722302882</v>
      </c>
      <c r="E24" s="18">
        <f t="shared" si="8"/>
        <v>6029.3578296403839</v>
      </c>
      <c r="F24" s="18">
        <f t="shared" si="9"/>
        <v>18088.073488921153</v>
      </c>
      <c r="G24" s="18">
        <f t="shared" si="10"/>
        <v>54264.220466763458</v>
      </c>
      <c r="H24" s="18">
        <f t="shared" si="11"/>
        <v>72352.29395568461</v>
      </c>
      <c r="I24" s="27">
        <f t="shared" si="12"/>
        <v>4.0835084980712741E-2</v>
      </c>
    </row>
    <row r="25" spans="2:9" ht="16.5" customHeight="1">
      <c r="B25" s="16" t="str">
        <f>'Base Londrina'!B21</f>
        <v>APS IBAITI</v>
      </c>
      <c r="C25" s="18">
        <f>'Base Londrina'!AO21</f>
        <v>1573.2650968592291</v>
      </c>
      <c r="D25" s="18">
        <f t="shared" si="7"/>
        <v>4719.7952905776874</v>
      </c>
      <c r="E25" s="18">
        <f t="shared" si="8"/>
        <v>6293.0603874369162</v>
      </c>
      <c r="F25" s="18">
        <f t="shared" si="9"/>
        <v>18879.18116231075</v>
      </c>
      <c r="G25" s="18">
        <f t="shared" si="10"/>
        <v>56637.543486932249</v>
      </c>
      <c r="H25" s="18">
        <f t="shared" si="11"/>
        <v>75516.724649242999</v>
      </c>
      <c r="I25" s="27">
        <f t="shared" si="12"/>
        <v>4.2621065621024974E-2</v>
      </c>
    </row>
    <row r="26" spans="2:9" ht="22.5" customHeight="1">
      <c r="B26" s="28" t="str">
        <f>"Total Base "&amp;B5</f>
        <v>Total Base LONDRINA</v>
      </c>
      <c r="C26" s="28">
        <f t="shared" ref="C26:I26" si="13">SUM(C11:C25)</f>
        <v>20251.988950298059</v>
      </c>
      <c r="D26" s="28">
        <f t="shared" si="13"/>
        <v>60755.966850894198</v>
      </c>
      <c r="E26" s="28">
        <f t="shared" si="13"/>
        <v>81007.955801192235</v>
      </c>
      <c r="F26" s="28">
        <f t="shared" si="13"/>
        <v>243023.86740357679</v>
      </c>
      <c r="G26" s="28">
        <f t="shared" si="13"/>
        <v>729071.60221073031</v>
      </c>
      <c r="H26" s="28">
        <f t="shared" si="13"/>
        <v>972095.46961430716</v>
      </c>
      <c r="I26" s="29">
        <f t="shared" si="13"/>
        <v>0.54864329713415061</v>
      </c>
    </row>
    <row r="27" spans="2:9" ht="22.5" customHeight="1">
      <c r="B27" s="30"/>
      <c r="C27" s="30"/>
      <c r="D27" s="30"/>
      <c r="E27" s="30"/>
      <c r="F27" s="30"/>
      <c r="G27" s="30"/>
      <c r="H27" s="30"/>
      <c r="I27" s="31"/>
    </row>
    <row r="28" spans="2:9" ht="27" customHeight="1">
      <c r="B28" s="198" t="str">
        <f>"BASE "&amp;B6</f>
        <v>BASE GUARAPUAVA</v>
      </c>
      <c r="C28" s="199" t="s">
        <v>23</v>
      </c>
      <c r="D28" s="199"/>
      <c r="E28" s="199"/>
      <c r="F28" s="199" t="s">
        <v>24</v>
      </c>
      <c r="G28" s="199"/>
      <c r="H28" s="199"/>
      <c r="I28" s="2" t="s">
        <v>25</v>
      </c>
    </row>
    <row r="29" spans="2:9" ht="22.5" customHeight="1">
      <c r="B29" s="198"/>
      <c r="C29" s="25" t="s">
        <v>26</v>
      </c>
      <c r="D29" s="25" t="s">
        <v>27</v>
      </c>
      <c r="E29" s="25" t="s">
        <v>28</v>
      </c>
      <c r="F29" s="26" t="s">
        <v>26</v>
      </c>
      <c r="G29" s="26" t="s">
        <v>27</v>
      </c>
      <c r="H29" s="26" t="s">
        <v>28</v>
      </c>
      <c r="I29" s="26" t="s">
        <v>29</v>
      </c>
    </row>
    <row r="30" spans="2:9" ht="16.5" customHeight="1">
      <c r="B30" s="16" t="str">
        <f>'Base Guarapuava'!B7</f>
        <v>APS IVAIPORÃ</v>
      </c>
      <c r="C30" s="18">
        <f>'Base Guarapuava'!AO7</f>
        <v>1711.9463445000044</v>
      </c>
      <c r="D30" s="18">
        <f t="shared" ref="D30:D39" si="14">C30*3</f>
        <v>5135.8390335000131</v>
      </c>
      <c r="E30" s="18">
        <f t="shared" ref="E30:E39" si="15">C30+D30</f>
        <v>6847.7853780000178</v>
      </c>
      <c r="F30" s="18">
        <f t="shared" ref="F30:F39" si="16">C30*12</f>
        <v>20543.356134000052</v>
      </c>
      <c r="G30" s="18">
        <f t="shared" ref="G30:G39" si="17">F30*3</f>
        <v>61630.068402000157</v>
      </c>
      <c r="H30" s="18">
        <f t="shared" ref="H30:H39" si="18">F30+G30</f>
        <v>82173.42453600021</v>
      </c>
      <c r="I30" s="27">
        <f t="shared" ref="I30:I39" si="19">F30/$E$7</f>
        <v>4.6378056459951571E-2</v>
      </c>
    </row>
    <row r="31" spans="2:9" ht="16.5" customHeight="1">
      <c r="B31" s="16" t="str">
        <f>'Base Guarapuava'!B8</f>
        <v>APS GUARAPUAVA</v>
      </c>
      <c r="C31" s="18">
        <f>'Base Guarapuava'!AO8</f>
        <v>1507.339457410096</v>
      </c>
      <c r="D31" s="18">
        <f t="shared" si="14"/>
        <v>4522.0183722302882</v>
      </c>
      <c r="E31" s="18">
        <f t="shared" si="15"/>
        <v>6029.3578296403839</v>
      </c>
      <c r="F31" s="18">
        <f t="shared" si="16"/>
        <v>18088.073488921153</v>
      </c>
      <c r="G31" s="18">
        <f t="shared" si="17"/>
        <v>54264.220466763458</v>
      </c>
      <c r="H31" s="18">
        <f t="shared" si="18"/>
        <v>72352.29395568461</v>
      </c>
      <c r="I31" s="27">
        <f t="shared" si="19"/>
        <v>4.0835084980712741E-2</v>
      </c>
    </row>
    <row r="32" spans="2:9" ht="16.5" customHeight="1">
      <c r="B32" s="16" t="str">
        <f>'Base Guarapuava'!B9</f>
        <v>APS LARANJEIRAS DO SUL</v>
      </c>
      <c r="C32" s="18">
        <f>'Base Guarapuava'!AO9</f>
        <v>1218.8454174050723</v>
      </c>
      <c r="D32" s="18">
        <f t="shared" si="14"/>
        <v>3656.5362522152172</v>
      </c>
      <c r="E32" s="18">
        <f t="shared" si="15"/>
        <v>4875.3816696202894</v>
      </c>
      <c r="F32" s="18">
        <f t="shared" si="16"/>
        <v>14626.145008860869</v>
      </c>
      <c r="G32" s="18">
        <f t="shared" si="17"/>
        <v>43878.435026582607</v>
      </c>
      <c r="H32" s="18">
        <f t="shared" si="18"/>
        <v>58504.580035443476</v>
      </c>
      <c r="I32" s="27">
        <f t="shared" si="19"/>
        <v>3.301954045813002E-2</v>
      </c>
    </row>
    <row r="33" spans="2:9" ht="16.5" customHeight="1">
      <c r="B33" s="16" t="str">
        <f>'Base Guarapuava'!B10</f>
        <v>APS PINHÃO</v>
      </c>
      <c r="C33" s="18">
        <f>'Base Guarapuava'!AO10</f>
        <v>1218.8454174050723</v>
      </c>
      <c r="D33" s="18">
        <f t="shared" si="14"/>
        <v>3656.5362522152172</v>
      </c>
      <c r="E33" s="18">
        <f t="shared" si="15"/>
        <v>4875.3816696202894</v>
      </c>
      <c r="F33" s="18">
        <f t="shared" si="16"/>
        <v>14626.145008860869</v>
      </c>
      <c r="G33" s="18">
        <f t="shared" si="17"/>
        <v>43878.435026582607</v>
      </c>
      <c r="H33" s="18">
        <f t="shared" si="18"/>
        <v>58504.580035443476</v>
      </c>
      <c r="I33" s="27">
        <f t="shared" si="19"/>
        <v>3.301954045813002E-2</v>
      </c>
    </row>
    <row r="34" spans="2:9" ht="16.5" customHeight="1">
      <c r="B34" s="16" t="str">
        <f>'Base Guarapuava'!B11</f>
        <v>APS PITANGA</v>
      </c>
      <c r="C34" s="18">
        <f>'Base Guarapuava'!AO11</f>
        <v>1251.2809511207686</v>
      </c>
      <c r="D34" s="18">
        <f t="shared" si="14"/>
        <v>3753.8428533623055</v>
      </c>
      <c r="E34" s="18">
        <f t="shared" si="15"/>
        <v>5005.1238044830743</v>
      </c>
      <c r="F34" s="18">
        <f t="shared" si="16"/>
        <v>15015.371413449222</v>
      </c>
      <c r="G34" s="18">
        <f t="shared" si="17"/>
        <v>45046.11424034767</v>
      </c>
      <c r="H34" s="18">
        <f t="shared" si="18"/>
        <v>60061.485653796888</v>
      </c>
      <c r="I34" s="27">
        <f t="shared" si="19"/>
        <v>3.3898246159864247E-2</v>
      </c>
    </row>
    <row r="35" spans="2:9" ht="16.5" customHeight="1">
      <c r="B35" s="16" t="str">
        <f>'Base Guarapuava'!B12</f>
        <v>APS TELÊMACO BORBA</v>
      </c>
      <c r="C35" s="18">
        <f>'Base Guarapuava'!AO12</f>
        <v>3685.0839455584392</v>
      </c>
      <c r="D35" s="18">
        <f t="shared" si="14"/>
        <v>11055.251836675317</v>
      </c>
      <c r="E35" s="18">
        <f t="shared" si="15"/>
        <v>14740.335782233757</v>
      </c>
      <c r="F35" s="18">
        <f t="shared" si="16"/>
        <v>44221.00734670127</v>
      </c>
      <c r="G35" s="18">
        <f t="shared" si="17"/>
        <v>132663.0220401038</v>
      </c>
      <c r="H35" s="18">
        <f t="shared" si="18"/>
        <v>176884.02938680508</v>
      </c>
      <c r="I35" s="27">
        <f t="shared" si="19"/>
        <v>9.9832002232923933E-2</v>
      </c>
    </row>
    <row r="36" spans="2:9" ht="16.5" customHeight="1">
      <c r="B36" s="16" t="str">
        <f>'Base Guarapuava'!B13</f>
        <v>APS PRUDENTÓPOLIS</v>
      </c>
      <c r="C36" s="18">
        <f>'Base Guarapuava'!AO13</f>
        <v>1177.074676085339</v>
      </c>
      <c r="D36" s="18">
        <f t="shared" si="14"/>
        <v>3531.2240282560169</v>
      </c>
      <c r="E36" s="18">
        <f t="shared" si="15"/>
        <v>4708.2987043413559</v>
      </c>
      <c r="F36" s="18">
        <f t="shared" si="16"/>
        <v>14124.896113024068</v>
      </c>
      <c r="G36" s="18">
        <f t="shared" si="17"/>
        <v>42374.688339072207</v>
      </c>
      <c r="H36" s="18">
        <f t="shared" si="18"/>
        <v>56499.584452096271</v>
      </c>
      <c r="I36" s="27">
        <f t="shared" si="19"/>
        <v>3.1887936184710794E-2</v>
      </c>
    </row>
    <row r="37" spans="2:9" ht="16.5" customHeight="1">
      <c r="B37" s="16" t="str">
        <f>'Base Guarapuava'!B14</f>
        <v>APS IMBITUVA</v>
      </c>
      <c r="C37" s="18">
        <f>'Base Guarapuava'!AO14</f>
        <v>1177.074676085339</v>
      </c>
      <c r="D37" s="18">
        <f t="shared" si="14"/>
        <v>3531.2240282560169</v>
      </c>
      <c r="E37" s="18">
        <f t="shared" si="15"/>
        <v>4708.2987043413559</v>
      </c>
      <c r="F37" s="18">
        <f t="shared" si="16"/>
        <v>14124.896113024068</v>
      </c>
      <c r="G37" s="18">
        <f t="shared" si="17"/>
        <v>42374.688339072207</v>
      </c>
      <c r="H37" s="18">
        <f t="shared" si="18"/>
        <v>56499.584452096271</v>
      </c>
      <c r="I37" s="27">
        <f t="shared" si="19"/>
        <v>3.1887936184710794E-2</v>
      </c>
    </row>
    <row r="38" spans="2:9" ht="16.5" customHeight="1">
      <c r="B38" s="16" t="str">
        <f>'Base Guarapuava'!B15</f>
        <v>APS JAGUARIAIVA</v>
      </c>
      <c r="C38" s="18">
        <f>'Base Guarapuava'!AO15</f>
        <v>1999.0419403109347</v>
      </c>
      <c r="D38" s="18">
        <f t="shared" si="14"/>
        <v>5997.1258209328043</v>
      </c>
      <c r="E38" s="18">
        <f t="shared" si="15"/>
        <v>7996.1677612437388</v>
      </c>
      <c r="F38" s="18">
        <f t="shared" si="16"/>
        <v>23988.503283731217</v>
      </c>
      <c r="G38" s="18">
        <f t="shared" si="17"/>
        <v>71965.509851193652</v>
      </c>
      <c r="H38" s="18">
        <f t="shared" si="18"/>
        <v>95954.01313492487</v>
      </c>
      <c r="I38" s="27">
        <f t="shared" si="19"/>
        <v>5.4155715961196962E-2</v>
      </c>
    </row>
    <row r="39" spans="2:9" ht="16.5" customHeight="1">
      <c r="B39" s="16" t="str">
        <f>'Base Guarapuava'!B16</f>
        <v>APS ARAPOTI</v>
      </c>
      <c r="C39" s="18">
        <f>'Base Guarapuava'!AO16</f>
        <v>1714.3304469041341</v>
      </c>
      <c r="D39" s="18">
        <f t="shared" si="14"/>
        <v>5142.9913407124022</v>
      </c>
      <c r="E39" s="18">
        <f t="shared" si="15"/>
        <v>6857.3217876165363</v>
      </c>
      <c r="F39" s="18">
        <f t="shared" si="16"/>
        <v>20571.965362849609</v>
      </c>
      <c r="G39" s="18">
        <f t="shared" si="17"/>
        <v>61715.896088548827</v>
      </c>
      <c r="H39" s="18">
        <f t="shared" si="18"/>
        <v>82287.861451398436</v>
      </c>
      <c r="I39" s="27">
        <f t="shared" si="19"/>
        <v>4.6442643785518323E-2</v>
      </c>
    </row>
    <row r="40" spans="2:9" ht="22.5" customHeight="1">
      <c r="B40" s="28" t="str">
        <f>"Total Base "&amp;B6</f>
        <v>Total Base GUARAPUAVA</v>
      </c>
      <c r="C40" s="28">
        <f t="shared" ref="C40:I40" si="20">SUM(C30:C39)</f>
        <v>16660.863272785202</v>
      </c>
      <c r="D40" s="28">
        <f t="shared" si="20"/>
        <v>49982.589818355606</v>
      </c>
      <c r="E40" s="28">
        <f t="shared" si="20"/>
        <v>66643.453091140807</v>
      </c>
      <c r="F40" s="28">
        <f t="shared" si="20"/>
        <v>199930.35927342242</v>
      </c>
      <c r="G40" s="28">
        <f t="shared" si="20"/>
        <v>599791.07782026718</v>
      </c>
      <c r="H40" s="28">
        <f t="shared" si="20"/>
        <v>799721.43709368969</v>
      </c>
      <c r="I40" s="29">
        <f t="shared" si="20"/>
        <v>0.45135670286584939</v>
      </c>
    </row>
  </sheetData>
  <mergeCells count="7">
    <mergeCell ref="B2:I2"/>
    <mergeCell ref="B9:B10"/>
    <mergeCell ref="C9:E9"/>
    <mergeCell ref="F9:H9"/>
    <mergeCell ref="B28:B29"/>
    <mergeCell ref="C28:E28"/>
    <mergeCell ref="F28:H28"/>
  </mergeCells>
  <printOptions horizontalCentered="1"/>
  <pageMargins left="0.15069444444444399" right="7.2916666666666699E-2" top="0.13750000000000001" bottom="8.2638888888888901E-2" header="0.511811023622047" footer="0.511811023622047"/>
  <pageSetup paperSize="9" pageOrder="overThenDown" orientation="portrait" useFirstPageNumber="1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IW65527"/>
  <sheetViews>
    <sheetView showGridLines="0" zoomScale="110" zoomScaleNormal="110" workbookViewId="0">
      <selection activeCell="E17" sqref="E17"/>
    </sheetView>
  </sheetViews>
  <sheetFormatPr defaultColWidth="10.5" defaultRowHeight="14.25"/>
  <cols>
    <col min="1" max="1" width="5.625" customWidth="1"/>
    <col min="2" max="2" width="21.625" customWidth="1"/>
    <col min="3" max="5" width="14.625" style="3" customWidth="1"/>
    <col min="6" max="6" width="13.5" style="3" customWidth="1"/>
    <col min="7" max="7" width="12.5" style="3" customWidth="1"/>
    <col min="8" max="257" width="10.625" style="3" customWidth="1"/>
  </cols>
  <sheetData>
    <row r="1" spans="2:5" ht="15" customHeight="1"/>
    <row r="2" spans="2:5" ht="24.75" customHeight="1">
      <c r="B2" s="200" t="str">
        <f>"CÁLCULO DO CUSTO DA EQUIPE TÉCNICA PARA O "&amp;'Valor da Contratação'!B7&amp;""</f>
        <v>CÁLCULO DO CUSTO DA EQUIPE TÉCNICA PARA O POLO II</v>
      </c>
      <c r="C2" s="200"/>
      <c r="D2" s="200"/>
      <c r="E2" s="200"/>
    </row>
    <row r="3" spans="2:5" ht="15" customHeight="1">
      <c r="B3" s="32"/>
      <c r="C3" s="32"/>
      <c r="D3" s="32"/>
      <c r="E3" s="32"/>
    </row>
    <row r="4" spans="2:5" ht="45.75" customHeight="1">
      <c r="B4" s="201" t="s">
        <v>30</v>
      </c>
      <c r="C4" s="1" t="s">
        <v>31</v>
      </c>
      <c r="D4" s="1" t="s">
        <v>32</v>
      </c>
      <c r="E4" s="1" t="s">
        <v>33</v>
      </c>
    </row>
    <row r="5" spans="2:5" ht="19.5" customHeight="1">
      <c r="B5" s="201"/>
      <c r="C5" s="33">
        <v>130.72</v>
      </c>
      <c r="D5" s="33">
        <f>'Comp. Eng. Eletricista'!D11</f>
        <v>126.73901785449999</v>
      </c>
      <c r="E5" s="33">
        <v>42.76</v>
      </c>
    </row>
    <row r="6" spans="2:5" ht="19.5" customHeight="1">
      <c r="B6" s="34" t="s">
        <v>34</v>
      </c>
      <c r="C6" s="35">
        <v>80</v>
      </c>
      <c r="D6" s="35">
        <v>16</v>
      </c>
      <c r="E6" s="35">
        <v>80</v>
      </c>
    </row>
    <row r="7" spans="2:5" ht="19.5" customHeight="1">
      <c r="B7" s="34" t="s">
        <v>35</v>
      </c>
      <c r="C7" s="33">
        <f>C5*C6</f>
        <v>10457.6</v>
      </c>
      <c r="D7" s="33">
        <f>D5*D6</f>
        <v>2027.8242856719999</v>
      </c>
      <c r="E7" s="33">
        <f>E5*E6</f>
        <v>3420.7999999999997</v>
      </c>
    </row>
    <row r="8" spans="2:5" ht="19.5" customHeight="1">
      <c r="B8" s="34" t="s">
        <v>36</v>
      </c>
      <c r="C8" s="33">
        <f>C5*C6*12</f>
        <v>125491.20000000001</v>
      </c>
      <c r="D8" s="33">
        <f>D5*D6*12</f>
        <v>24333.891428063998</v>
      </c>
      <c r="E8" s="33">
        <f>E5*E6*12</f>
        <v>41049.599999999999</v>
      </c>
    </row>
    <row r="9" spans="2:5" ht="19.5" customHeight="1">
      <c r="B9" s="36" t="s">
        <v>37</v>
      </c>
      <c r="C9" s="37"/>
      <c r="D9" s="37"/>
      <c r="E9" s="37"/>
    </row>
    <row r="10" spans="2:5" ht="19.5" customHeight="1">
      <c r="C10" s="37"/>
      <c r="D10" s="37"/>
      <c r="E10" s="37"/>
    </row>
    <row r="11" spans="2:5" ht="19.5" customHeight="1">
      <c r="B11" s="201" t="s">
        <v>38</v>
      </c>
      <c r="C11" s="201"/>
      <c r="E11" s="37"/>
    </row>
    <row r="12" spans="2:5" ht="19.5" customHeight="1">
      <c r="B12" s="34" t="s">
        <v>39</v>
      </c>
      <c r="C12" s="33">
        <f>SUM(C7:E7)</f>
        <v>15906.224285672</v>
      </c>
      <c r="E12" s="37"/>
    </row>
    <row r="13" spans="2:5" ht="19.5" customHeight="1">
      <c r="B13" s="34" t="s">
        <v>40</v>
      </c>
      <c r="C13" s="33">
        <f>SUM(C8:E8)</f>
        <v>190874.69142806402</v>
      </c>
    </row>
    <row r="65527" ht="12.75" customHeight="1"/>
  </sheetData>
  <mergeCells count="3">
    <mergeCell ref="B2:E2"/>
    <mergeCell ref="B4:B5"/>
    <mergeCell ref="B11:C11"/>
  </mergeCells>
  <printOptions horizontalCentered="1"/>
  <pageMargins left="0.78749999999999998" right="0.78749999999999998" top="0.47777777777777802" bottom="0.196527777777778" header="0.511811023622047" footer="0.511811023622047"/>
  <pageSetup paperSize="9" pageOrder="overThenDown" orientation="portrait" useFirstPageNumber="1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79998168889431442"/>
  </sheetPr>
  <dimension ref="B1:IV27"/>
  <sheetViews>
    <sheetView showGridLines="0" zoomScale="110" zoomScaleNormal="110" workbookViewId="0">
      <selection activeCell="AK7" sqref="AK7:AN21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8" t="str">
        <f>"BASE "&amp;Resumo!B5&amp;" - PLANILHA DE FORMAÇÃO DE PREÇOS"</f>
        <v>BASE LONDRINA - PLANILHA DE FORMAÇÃO DE PREÇOS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39"/>
      <c r="Q2" s="200" t="str">
        <f>"BASE "&amp;Resumo!B5&amp;" – PLANILHA DE DISTRIBUIÇÃO DE CUSTOS POR UNIDADE"</f>
        <v>BASE LONDRINA – PLANILHA DE DISTRIBUIÇÃO DE CUSTOS POR UNIDADE</v>
      </c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40"/>
      <c r="AI2" s="209" t="str">
        <f>"BASE "&amp;Resumo!B5&amp;" – PLANILHA RESUMO DE CUSTOS DA BASE"</f>
        <v>BASE LONDRINA – PLANILHA RESUMO DE CUSTOS DA BASE</v>
      </c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203" t="s">
        <v>41</v>
      </c>
      <c r="C4" s="203" t="s">
        <v>42</v>
      </c>
      <c r="D4" s="203"/>
      <c r="E4" s="203"/>
      <c r="F4" s="203"/>
      <c r="G4" s="203"/>
      <c r="H4" s="203" t="s">
        <v>43</v>
      </c>
      <c r="I4" s="203"/>
      <c r="J4" s="203"/>
      <c r="K4" s="203"/>
      <c r="L4" s="203"/>
      <c r="M4" s="203"/>
      <c r="N4" s="203"/>
      <c r="O4" s="203" t="s">
        <v>28</v>
      </c>
      <c r="P4" s="39"/>
      <c r="Q4" s="203" t="s">
        <v>44</v>
      </c>
      <c r="R4" s="205" t="s">
        <v>45</v>
      </c>
      <c r="S4" s="205"/>
      <c r="T4" s="205"/>
      <c r="U4" s="205"/>
      <c r="V4" s="205" t="s">
        <v>46</v>
      </c>
      <c r="W4" s="205"/>
      <c r="X4" s="205"/>
      <c r="Y4" s="205"/>
      <c r="Z4" s="205" t="s">
        <v>47</v>
      </c>
      <c r="AA4" s="205"/>
      <c r="AB4" s="205"/>
      <c r="AC4" s="205"/>
      <c r="AD4" s="205" t="s">
        <v>48</v>
      </c>
      <c r="AE4" s="205"/>
      <c r="AF4" s="205"/>
      <c r="AG4" s="205"/>
      <c r="AI4" s="203" t="s">
        <v>44</v>
      </c>
      <c r="AJ4" s="210" t="s">
        <v>49</v>
      </c>
      <c r="AK4" s="210"/>
      <c r="AL4" s="210"/>
      <c r="AM4" s="210"/>
      <c r="AN4" s="210"/>
      <c r="AO4" s="210" t="s">
        <v>50</v>
      </c>
      <c r="AP4" s="210"/>
      <c r="AQ4" s="210"/>
      <c r="AR4" s="42"/>
      <c r="AS4" s="210" t="str">
        <f>"Resumo de Custos da Base "&amp;Resumo!B5</f>
        <v>Resumo de Custos da Base LONDRINA</v>
      </c>
      <c r="AT4" s="210"/>
      <c r="AU4" s="210"/>
      <c r="AV4" s="210"/>
      <c r="AW4" s="210"/>
    </row>
    <row r="5" spans="2:49" ht="39.75" customHeight="1">
      <c r="B5" s="203"/>
      <c r="C5" s="1" t="s">
        <v>28</v>
      </c>
      <c r="D5" s="1" t="s">
        <v>51</v>
      </c>
      <c r="E5" s="1" t="s">
        <v>52</v>
      </c>
      <c r="F5" s="1" t="s">
        <v>53</v>
      </c>
      <c r="G5" s="203" t="s">
        <v>54</v>
      </c>
      <c r="H5" s="1" t="s">
        <v>55</v>
      </c>
      <c r="I5" s="1" t="s">
        <v>56</v>
      </c>
      <c r="J5" s="1" t="s">
        <v>57</v>
      </c>
      <c r="K5" s="1" t="s">
        <v>58</v>
      </c>
      <c r="L5" s="1" t="s">
        <v>59</v>
      </c>
      <c r="M5" s="1" t="s">
        <v>60</v>
      </c>
      <c r="N5" s="203" t="s">
        <v>61</v>
      </c>
      <c r="O5" s="203"/>
      <c r="P5" s="39"/>
      <c r="Q5" s="203"/>
      <c r="R5" s="1" t="s">
        <v>62</v>
      </c>
      <c r="S5" s="1" t="s">
        <v>63</v>
      </c>
      <c r="T5" s="1" t="s">
        <v>64</v>
      </c>
      <c r="U5" s="1" t="s">
        <v>65</v>
      </c>
      <c r="V5" s="203" t="s">
        <v>66</v>
      </c>
      <c r="W5" s="203" t="s">
        <v>67</v>
      </c>
      <c r="X5" s="203" t="s">
        <v>68</v>
      </c>
      <c r="Y5" s="203" t="s">
        <v>69</v>
      </c>
      <c r="Z5" s="203" t="s">
        <v>70</v>
      </c>
      <c r="AA5" s="203"/>
      <c r="AB5" s="203"/>
      <c r="AC5" s="1">
        <f>N22+'Base Guarapuava'!N17</f>
        <v>962.34999999999991</v>
      </c>
      <c r="AD5" s="205" t="s">
        <v>62</v>
      </c>
      <c r="AE5" s="205" t="s">
        <v>63</v>
      </c>
      <c r="AF5" s="205" t="s">
        <v>64</v>
      </c>
      <c r="AG5" s="205" t="s">
        <v>65</v>
      </c>
      <c r="AI5" s="203"/>
      <c r="AJ5" s="205" t="s">
        <v>71</v>
      </c>
      <c r="AK5" s="205" t="s">
        <v>62</v>
      </c>
      <c r="AL5" s="205" t="s">
        <v>63</v>
      </c>
      <c r="AM5" s="205" t="s">
        <v>64</v>
      </c>
      <c r="AN5" s="205" t="s">
        <v>65</v>
      </c>
      <c r="AO5" s="205" t="s">
        <v>72</v>
      </c>
      <c r="AP5" s="206" t="s">
        <v>73</v>
      </c>
      <c r="AQ5" s="205" t="s">
        <v>74</v>
      </c>
      <c r="AR5" s="40"/>
      <c r="AS5" s="205" t="s">
        <v>75</v>
      </c>
      <c r="AT5" s="41" t="s">
        <v>62</v>
      </c>
      <c r="AU5" s="41" t="s">
        <v>63</v>
      </c>
      <c r="AV5" s="41" t="s">
        <v>64</v>
      </c>
      <c r="AW5" s="41" t="s">
        <v>65</v>
      </c>
    </row>
    <row r="6" spans="2:49" ht="19.5" customHeight="1">
      <c r="B6" s="203"/>
      <c r="C6" s="43" t="s">
        <v>76</v>
      </c>
      <c r="D6" s="43">
        <v>1</v>
      </c>
      <c r="E6" s="43">
        <v>0.35</v>
      </c>
      <c r="F6" s="43">
        <v>0.1</v>
      </c>
      <c r="G6" s="203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203"/>
      <c r="O6" s="203"/>
      <c r="P6" s="44"/>
      <c r="Q6" s="203"/>
      <c r="R6" s="43" t="s">
        <v>77</v>
      </c>
      <c r="S6" s="43" t="s">
        <v>78</v>
      </c>
      <c r="T6" s="43" t="s">
        <v>79</v>
      </c>
      <c r="U6" s="43" t="s">
        <v>80</v>
      </c>
      <c r="V6" s="203"/>
      <c r="W6" s="203"/>
      <c r="X6" s="203"/>
      <c r="Y6" s="203"/>
      <c r="Z6" s="26" t="s">
        <v>62</v>
      </c>
      <c r="AA6" s="26" t="s">
        <v>63</v>
      </c>
      <c r="AB6" s="26" t="s">
        <v>64</v>
      </c>
      <c r="AC6" s="26" t="s">
        <v>65</v>
      </c>
      <c r="AD6" s="205"/>
      <c r="AE6" s="205"/>
      <c r="AF6" s="205"/>
      <c r="AG6" s="205"/>
      <c r="AI6" s="203"/>
      <c r="AJ6" s="205"/>
      <c r="AK6" s="205"/>
      <c r="AL6" s="205"/>
      <c r="AM6" s="205"/>
      <c r="AN6" s="205"/>
      <c r="AO6" s="205"/>
      <c r="AP6" s="207"/>
      <c r="AQ6" s="205"/>
      <c r="AR6" s="45"/>
      <c r="AS6" s="205"/>
      <c r="AT6" s="26" t="s">
        <v>77</v>
      </c>
      <c r="AU6" s="26" t="s">
        <v>78</v>
      </c>
      <c r="AV6" s="26" t="s">
        <v>79</v>
      </c>
      <c r="AW6" s="26" t="s">
        <v>80</v>
      </c>
    </row>
    <row r="7" spans="2:49" s="3" customFormat="1" ht="15" customHeight="1">
      <c r="B7" s="165" t="s">
        <v>81</v>
      </c>
      <c r="C7" s="47">
        <f>VLOOKUP($B7,Unidades!$D$5:$N$29,6,FALSE())</f>
        <v>337.58</v>
      </c>
      <c r="D7" s="47">
        <f>VLOOKUP($B7,Unidades!$D$5:$N$29,7,FALSE())</f>
        <v>337.58</v>
      </c>
      <c r="E7" s="47">
        <f>VLOOKUP($B7,Unidades!$D$5:$N$29,8,FALSE())</f>
        <v>0</v>
      </c>
      <c r="F7" s="47">
        <f>VLOOKUP($B7,Unidades!$D$5:$N$29,9,FALSE())</f>
        <v>0</v>
      </c>
      <c r="G7" s="47">
        <f t="shared" ref="G7:G18" si="0">D7+E7*$E$6+F7*$F$6</f>
        <v>337.58</v>
      </c>
      <c r="H7" s="48">
        <f t="shared" ref="H7:H18" si="1">IF(G7&lt;750,1.5,IF(G7&lt;2000,2,IF(G7&lt;4000,3,12)))</f>
        <v>1.5</v>
      </c>
      <c r="I7" s="48">
        <f t="shared" ref="I7:I18" si="2">$I$6*H7</f>
        <v>1.7999999999999998</v>
      </c>
      <c r="J7" s="48" t="str">
        <f>VLOOKUP($B7,Unidades!$D$5:$N$29,10,FALSE())</f>
        <v>NÃO</v>
      </c>
      <c r="K7" s="48" t="str">
        <f>VLOOKUP($B7,Unidades!$D$5:$N$29,11,FALSE())</f>
        <v>NÃO</v>
      </c>
      <c r="L7" s="48">
        <f t="shared" ref="L7:L18" si="3">$L$6*H7+(IF(J7="SIM",$J$6,0))</f>
        <v>1.6500000000000001</v>
      </c>
      <c r="M7" s="48">
        <f t="shared" ref="M7:M18" si="4">$M$6*H7+(IF(J7="SIM",$J$6,0))+(IF(K7="SIM",$K$6,0))</f>
        <v>1.6500000000000001</v>
      </c>
      <c r="N7" s="48">
        <f t="shared" ref="N7:N18" si="5">H7*12+I7*4+L7*2+M7</f>
        <v>30.15</v>
      </c>
      <c r="O7" s="49">
        <f t="shared" ref="O7:O18" si="6">IF(K7="não", N7*(C$25+D$25),N7*(C$25+D$25)+(M7*+E$25))</f>
        <v>1881.6794392499999</v>
      </c>
      <c r="P7" s="50"/>
      <c r="Q7" s="16" t="str">
        <f t="shared" ref="Q7:Q18" si="7">B7</f>
        <v>APS ADJ LONDRINA</v>
      </c>
      <c r="R7" s="18">
        <f t="shared" ref="R7:R18" si="8">H7*($C$25+$D$25)</f>
        <v>93.615892500000001</v>
      </c>
      <c r="S7" s="18">
        <f t="shared" ref="S7:S18" si="9">I7*($C$25+$D$25)</f>
        <v>112.33907099999999</v>
      </c>
      <c r="T7" s="18">
        <f t="shared" ref="T7:T18" si="10">L7*($C$25+$D$25)</f>
        <v>102.97748175000001</v>
      </c>
      <c r="U7" s="18">
        <f t="shared" ref="U7:U18" si="11">IF(K7="não",M7*($C$25+$D$25),M7*(C$25+D$25+E$25))</f>
        <v>102.97748175000001</v>
      </c>
      <c r="V7" s="18">
        <f>VLOOKUP(Q7,'Desl. Base Londrina'!$C$5:$S$19,13,FALSE())*($C$25+$D$25+$E$25*(VLOOKUP(Q7,'Desl. Base Londrina'!$C$5:$S$19,17,FALSE())/12))</f>
        <v>11.441942416666667</v>
      </c>
      <c r="W7" s="18">
        <f>VLOOKUP(Q7,'Desl. Base Londrina'!$C$5:$S$19,15,FALSE())*(2+(VLOOKUP(Q7,'Desl. Base Londrina'!$C$5:$S$19,17,FALSE())/12))</f>
        <v>0</v>
      </c>
      <c r="X7" s="18">
        <f>VLOOKUP(Q7,'Desl. Base Londrina'!$C$5:$Q$21,14,FALSE())</f>
        <v>0</v>
      </c>
      <c r="Y7" s="18">
        <f>VLOOKUP(Q7,'Desl. Base Londrina'!$C$5:$Q$19,13,FALSE())*'Desl. Base Londrina'!$E$24+'Desl. Base Londrina'!$E$25*N7/12</f>
        <v>27.444416666666665</v>
      </c>
      <c r="Z7" s="18">
        <f>(H7/$AC$5)*'Equipe Técnica'!$C$13</f>
        <v>297.51341730357569</v>
      </c>
      <c r="AA7" s="18">
        <f>(I7/$AC$5)*'Equipe Técnica'!$C$13</f>
        <v>357.0161007642908</v>
      </c>
      <c r="AB7" s="18">
        <f>(L7/$AC$5)*'Equipe Técnica'!$C$13</f>
        <v>327.26475903393327</v>
      </c>
      <c r="AC7" s="18">
        <f>(M7/$AC$5)*'Equipe Técnica'!$C$13</f>
        <v>327.26475903393327</v>
      </c>
      <c r="AD7" s="18">
        <f t="shared" ref="AD7:AD18" si="12">R7+(($V7+$W7+$X7+$Y7)*12/19)+$Z7</f>
        <v>415.68911554041779</v>
      </c>
      <c r="AE7" s="18">
        <f t="shared" ref="AE7:AE18" si="13">S7+(($V7+$W7+$X7+$Y7)*12/19)+$AA7</f>
        <v>493.91497750113285</v>
      </c>
      <c r="AF7" s="18">
        <f t="shared" ref="AF7:AF18" si="14">T7+(($V7+$W7+$X7+$Y7)*12/19)+$AB7</f>
        <v>454.80204652077538</v>
      </c>
      <c r="AG7" s="18">
        <f t="shared" ref="AG7:AG18" si="15">U7+(($V7+$W7+$X7+$Y7)*12/19)+$AC7</f>
        <v>454.80204652077538</v>
      </c>
      <c r="AI7" s="16" t="str">
        <f t="shared" ref="AI7:AI18" si="16">B7</f>
        <v>APS ADJ LONDRINA</v>
      </c>
      <c r="AJ7" s="51">
        <f>VLOOKUP(AI7,Unidades!D$5:H$29,5,)</f>
        <v>0.31419999999999998</v>
      </c>
      <c r="AK7" s="33">
        <f t="shared" ref="AK7:AK18" si="17">AD7*(1+$AJ7)</f>
        <v>546.29863564321704</v>
      </c>
      <c r="AL7" s="33">
        <f t="shared" ref="AL7:AL18" si="18">AE7*(1+$AJ7)</f>
        <v>649.10306343198886</v>
      </c>
      <c r="AM7" s="33">
        <f t="shared" ref="AM7:AM18" si="19">AF7*(1+$AJ7)</f>
        <v>597.70084953760306</v>
      </c>
      <c r="AN7" s="33">
        <f t="shared" ref="AN7:AN18" si="20">AG7*(1+$AJ7)</f>
        <v>597.70084953760306</v>
      </c>
      <c r="AO7" s="33">
        <f t="shared" ref="AO7:AO18" si="21">((AK7*12)+(AL7*4)+(AM7*2)+AN7)/12</f>
        <v>912.09153583828083</v>
      </c>
      <c r="AP7" s="33">
        <f>AO7*3</f>
        <v>2736.2746075148425</v>
      </c>
      <c r="AQ7" s="33">
        <f t="shared" ref="AQ7:AQ18" si="22">AO7+AP7</f>
        <v>3648.3661433531233</v>
      </c>
      <c r="AR7" s="52"/>
      <c r="AS7" s="53" t="s">
        <v>82</v>
      </c>
      <c r="AT7" s="33">
        <f>AK22</f>
        <v>10992.827784814395</v>
      </c>
      <c r="AU7" s="33">
        <f>AL22</f>
        <v>12727.538424367893</v>
      </c>
      <c r="AV7" s="33">
        <f>AM22</f>
        <v>15953.377406972882</v>
      </c>
      <c r="AW7" s="33">
        <f>AN22</f>
        <v>28293.025474386654</v>
      </c>
    </row>
    <row r="8" spans="2:49" s="3" customFormat="1" ht="15" customHeight="1">
      <c r="B8" s="165" t="s">
        <v>83</v>
      </c>
      <c r="C8" s="47">
        <f>VLOOKUP($B8,Unidades!$D$5:$N$29,6,FALSE())</f>
        <v>334.4</v>
      </c>
      <c r="D8" s="47">
        <f>VLOOKUP($B8,Unidades!$D$5:$N$29,7,FALSE())</f>
        <v>296</v>
      </c>
      <c r="E8" s="47">
        <f>VLOOKUP($B8,Unidades!$D$5:$N$29,8,FALSE())</f>
        <v>38.4</v>
      </c>
      <c r="F8" s="47">
        <f>VLOOKUP($B8,Unidades!$D$5:$N$29,9,FALSE())</f>
        <v>0</v>
      </c>
      <c r="G8" s="47">
        <f t="shared" si="0"/>
        <v>309.44</v>
      </c>
      <c r="H8" s="48">
        <f t="shared" si="1"/>
        <v>1.5</v>
      </c>
      <c r="I8" s="48">
        <f t="shared" si="2"/>
        <v>1.7999999999999998</v>
      </c>
      <c r="J8" s="48" t="str">
        <f>VLOOKUP($B8,Unidades!$D$5:$N$29,10,FALSE())</f>
        <v>NÃO</v>
      </c>
      <c r="K8" s="48" t="str">
        <f>VLOOKUP($B8,Unidades!$D$5:$N$29,11,FALSE())</f>
        <v>NÃO</v>
      </c>
      <c r="L8" s="48">
        <f t="shared" si="3"/>
        <v>1.6500000000000001</v>
      </c>
      <c r="M8" s="48">
        <f t="shared" si="4"/>
        <v>1.6500000000000001</v>
      </c>
      <c r="N8" s="48">
        <f t="shared" si="5"/>
        <v>30.15</v>
      </c>
      <c r="O8" s="49">
        <f t="shared" si="6"/>
        <v>1881.6794392499999</v>
      </c>
      <c r="P8" s="50"/>
      <c r="Q8" s="16" t="str">
        <f t="shared" si="7"/>
        <v>APS ANDIRÁ</v>
      </c>
      <c r="R8" s="18">
        <f t="shared" si="8"/>
        <v>93.615892500000001</v>
      </c>
      <c r="S8" s="18">
        <f t="shared" si="9"/>
        <v>112.33907099999999</v>
      </c>
      <c r="T8" s="18">
        <f t="shared" si="10"/>
        <v>102.97748175000001</v>
      </c>
      <c r="U8" s="18">
        <f t="shared" si="11"/>
        <v>102.97748175000001</v>
      </c>
      <c r="V8" s="18">
        <f>VLOOKUP(Q8,'Desl. Base Londrina'!$C$5:$S$19,13,FALSE())*($C$25+$D$25+$E$25*(VLOOKUP(Q8,'Desl. Base Londrina'!$C$5:$S$19,17,FALSE())/12))</f>
        <v>120.66048366666666</v>
      </c>
      <c r="W8" s="18">
        <f>VLOOKUP(Q8,'Desl. Base Londrina'!$C$5:$S$19,15,FALSE())*(2+(VLOOKUP(Q8,'Desl. Base Londrina'!$C$5:$S$19,17,FALSE())/12))</f>
        <v>0</v>
      </c>
      <c r="X8" s="18">
        <f>VLOOKUP(Q8,'Desl. Base Londrina'!$C$5:$Q$21,14,FALSE())</f>
        <v>0</v>
      </c>
      <c r="Y8" s="18">
        <f>VLOOKUP(Q8,'Desl. Base Londrina'!$C$5:$Q$19,13,FALSE())*'Desl. Base Londrina'!$E$24+'Desl. Base Londrina'!$E$25*N8/12</f>
        <v>126.80941666666668</v>
      </c>
      <c r="Z8" s="18">
        <f>(H8/$AC$5)*'Equipe Técnica'!$C$13</f>
        <v>297.51341730357569</v>
      </c>
      <c r="AA8" s="18">
        <f>(I8/$AC$5)*'Equipe Técnica'!$C$13</f>
        <v>357.0161007642908</v>
      </c>
      <c r="AB8" s="18">
        <f>(L8/$AC$5)*'Equipe Técnica'!$C$13</f>
        <v>327.26475903393327</v>
      </c>
      <c r="AC8" s="18">
        <f>(M8/$AC$5)*'Equipe Técnica'!$C$13</f>
        <v>327.26475903393327</v>
      </c>
      <c r="AD8" s="18">
        <f t="shared" si="12"/>
        <v>547.42608896147044</v>
      </c>
      <c r="AE8" s="18">
        <f t="shared" si="13"/>
        <v>625.65195092218551</v>
      </c>
      <c r="AF8" s="18">
        <f t="shared" si="14"/>
        <v>586.53901994182797</v>
      </c>
      <c r="AG8" s="18">
        <f t="shared" si="15"/>
        <v>586.53901994182797</v>
      </c>
      <c r="AI8" s="16" t="str">
        <f t="shared" si="16"/>
        <v>APS ANDIRÁ</v>
      </c>
      <c r="AJ8" s="51">
        <f>VLOOKUP(AI8,Unidades!D$5:H$29,5,)</f>
        <v>0.28489999999999999</v>
      </c>
      <c r="AK8" s="33">
        <f t="shared" si="17"/>
        <v>703.38778170659339</v>
      </c>
      <c r="AL8" s="33">
        <f t="shared" si="18"/>
        <v>803.90019173991607</v>
      </c>
      <c r="AM8" s="33">
        <f t="shared" si="19"/>
        <v>753.64398672325467</v>
      </c>
      <c r="AN8" s="33">
        <f t="shared" si="20"/>
        <v>753.64398672325467</v>
      </c>
      <c r="AO8" s="33">
        <f t="shared" si="21"/>
        <v>1159.7655089673792</v>
      </c>
      <c r="AP8" s="33">
        <f t="shared" ref="AP8:AP18" si="23">AO8*3</f>
        <v>3479.2965269021379</v>
      </c>
      <c r="AQ8" s="33">
        <f t="shared" si="22"/>
        <v>4639.0620358695169</v>
      </c>
      <c r="AR8" s="52"/>
      <c r="AS8" s="53" t="s">
        <v>84</v>
      </c>
      <c r="AT8" s="33">
        <f>AT7*12</f>
        <v>131913.93341777276</v>
      </c>
      <c r="AU8" s="33">
        <f>AU7*4</f>
        <v>50910.153697471571</v>
      </c>
      <c r="AV8" s="33">
        <f>AV7*2</f>
        <v>31906.754813945765</v>
      </c>
      <c r="AW8" s="33">
        <f>AW7</f>
        <v>28293.025474386654</v>
      </c>
    </row>
    <row r="9" spans="2:49" s="3" customFormat="1" ht="15" customHeight="1">
      <c r="B9" s="165" t="s">
        <v>85</v>
      </c>
      <c r="C9" s="47">
        <f>VLOOKUP($B9,Unidades!$D$5:$N$29,6,FALSE())</f>
        <v>2574.59</v>
      </c>
      <c r="D9" s="47">
        <f>VLOOKUP($B9,Unidades!$D$5:$N$29,7,FALSE())</f>
        <v>1216.5899999999999</v>
      </c>
      <c r="E9" s="47">
        <f>VLOOKUP($B9,Unidades!$D$5:$N$29,8,FALSE())</f>
        <v>952.47</v>
      </c>
      <c r="F9" s="47">
        <f>VLOOKUP($B9,Unidades!$D$5:$N$29,9,FALSE())</f>
        <v>405.53</v>
      </c>
      <c r="G9" s="47">
        <f t="shared" si="0"/>
        <v>1590.5074999999997</v>
      </c>
      <c r="H9" s="48">
        <f t="shared" si="1"/>
        <v>2</v>
      </c>
      <c r="I9" s="48">
        <f t="shared" si="2"/>
        <v>2.4</v>
      </c>
      <c r="J9" s="48" t="str">
        <f>VLOOKUP($B9,Unidades!$D$5:$N$29,10,FALSE())</f>
        <v>SIM</v>
      </c>
      <c r="K9" s="48" t="str">
        <f>VLOOKUP($B9,Unidades!$D$5:$N$29,11,FALSE())</f>
        <v>SIM</v>
      </c>
      <c r="L9" s="48">
        <f t="shared" si="3"/>
        <v>4.2</v>
      </c>
      <c r="M9" s="48">
        <f t="shared" si="4"/>
        <v>8.1999999999999993</v>
      </c>
      <c r="N9" s="48">
        <f t="shared" si="5"/>
        <v>50.2</v>
      </c>
      <c r="O9" s="49">
        <f t="shared" si="6"/>
        <v>3466.4238690000002</v>
      </c>
      <c r="P9" s="50"/>
      <c r="Q9" s="16" t="str">
        <f t="shared" si="7"/>
        <v>APS APUCARANA</v>
      </c>
      <c r="R9" s="18">
        <f t="shared" si="8"/>
        <v>124.82119</v>
      </c>
      <c r="S9" s="18">
        <f t="shared" si="9"/>
        <v>149.785428</v>
      </c>
      <c r="T9" s="18">
        <f t="shared" si="10"/>
        <v>262.12449900000001</v>
      </c>
      <c r="U9" s="18">
        <f t="shared" si="11"/>
        <v>845.17887899999994</v>
      </c>
      <c r="V9" s="18">
        <f>VLOOKUP(Q9,'Desl. Base Londrina'!$C$5:$S$19,13,FALSE())*($C$25+$D$25+$E$25*(VLOOKUP(Q9,'Desl. Base Londrina'!$C$5:$S$19,17,FALSE())/12))</f>
        <v>72.378821166666683</v>
      </c>
      <c r="W9" s="18">
        <f>VLOOKUP(Q9,'Desl. Base Londrina'!$C$5:$S$19,15,FALSE())*(2+(VLOOKUP(Q9,'Desl. Base Londrina'!$C$5:$S$19,17,FALSE())/12))</f>
        <v>0</v>
      </c>
      <c r="X9" s="18">
        <f>VLOOKUP(Q9,'Desl. Base Londrina'!$C$5:$Q$21,14,FALSE())</f>
        <v>0</v>
      </c>
      <c r="Y9" s="18">
        <f>VLOOKUP(Q9,'Desl. Base Londrina'!$C$5:$Q$19,13,FALSE())*'Desl. Base Londrina'!$E$24+'Desl. Base Londrina'!$E$25*N9/12</f>
        <v>90.821000000000012</v>
      </c>
      <c r="Z9" s="18">
        <f>(H9/$AC$5)*'Equipe Técnica'!$C$13</f>
        <v>396.68455640476759</v>
      </c>
      <c r="AA9" s="18">
        <f>(I9/$AC$5)*'Equipe Técnica'!$C$13</f>
        <v>476.02146768572112</v>
      </c>
      <c r="AB9" s="18">
        <f>(L9/$AC$5)*'Equipe Técnica'!$C$13</f>
        <v>833.03756845001203</v>
      </c>
      <c r="AC9" s="18">
        <f>(M9/$AC$5)*'Equipe Técnica'!$C$13</f>
        <v>1626.406681259547</v>
      </c>
      <c r="AD9" s="18">
        <f t="shared" si="12"/>
        <v>624.57931766792558</v>
      </c>
      <c r="AE9" s="18">
        <f t="shared" si="13"/>
        <v>728.88046694887908</v>
      </c>
      <c r="AF9" s="18">
        <f t="shared" si="14"/>
        <v>1198.2356387131699</v>
      </c>
      <c r="AG9" s="18">
        <f t="shared" si="15"/>
        <v>2574.6591315227047</v>
      </c>
      <c r="AI9" s="16" t="str">
        <f t="shared" si="16"/>
        <v>APS APUCARANA</v>
      </c>
      <c r="AJ9" s="51">
        <f>VLOOKUP(AI9,Unidades!D$5:H$29,5,)</f>
        <v>0.27779999999999999</v>
      </c>
      <c r="AK9" s="33">
        <f t="shared" si="17"/>
        <v>798.08745211607538</v>
      </c>
      <c r="AL9" s="33">
        <f t="shared" si="18"/>
        <v>931.36346066727776</v>
      </c>
      <c r="AM9" s="33">
        <f t="shared" si="19"/>
        <v>1531.1054991476885</v>
      </c>
      <c r="AN9" s="33">
        <f t="shared" si="20"/>
        <v>3289.899438259712</v>
      </c>
      <c r="AO9" s="33">
        <f t="shared" si="21"/>
        <v>1637.8844753847588</v>
      </c>
      <c r="AP9" s="33">
        <f t="shared" si="23"/>
        <v>4913.6534261542765</v>
      </c>
      <c r="AQ9" s="33">
        <f t="shared" si="22"/>
        <v>6551.5379015390354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5" t="s">
        <v>86</v>
      </c>
      <c r="C10" s="47">
        <f>VLOOKUP($B10,Unidades!$D$5:$N$29,6,FALSE())</f>
        <v>876</v>
      </c>
      <c r="D10" s="47">
        <f>VLOOKUP($B10,Unidades!$D$5:$N$29,7,FALSE())</f>
        <v>591</v>
      </c>
      <c r="E10" s="47">
        <f>VLOOKUP($B10,Unidades!$D$5:$N$29,8,FALSE())</f>
        <v>285</v>
      </c>
      <c r="F10" s="47">
        <f>VLOOKUP($B10,Unidades!$D$5:$N$29,9,FALSE())</f>
        <v>0</v>
      </c>
      <c r="G10" s="47">
        <f t="shared" si="0"/>
        <v>690.75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1881.6794392499999</v>
      </c>
      <c r="P10" s="50"/>
      <c r="Q10" s="16" t="str">
        <f t="shared" si="7"/>
        <v>APS ARAPONGAS</v>
      </c>
      <c r="R10" s="18">
        <f t="shared" si="8"/>
        <v>93.615892500000001</v>
      </c>
      <c r="S10" s="18">
        <f t="shared" si="9"/>
        <v>112.33907099999999</v>
      </c>
      <c r="T10" s="18">
        <f t="shared" si="10"/>
        <v>102.97748175000001</v>
      </c>
      <c r="U10" s="18">
        <f t="shared" si="11"/>
        <v>102.97748175000001</v>
      </c>
      <c r="V10" s="18">
        <f>VLOOKUP(Q10,'Desl. Base Londrina'!$C$5:$S$19,13,FALSE())*($C$25+$D$25+$E$25*(VLOOKUP(Q10,'Desl. Base Londrina'!$C$5:$S$19,17,FALSE())/12))</f>
        <v>72.378821166666683</v>
      </c>
      <c r="W10" s="18">
        <f>VLOOKUP(Q10,'Desl. Base Londrina'!$C$5:$S$19,15,FALSE())*(2+(VLOOKUP(Q10,'Desl. Base Londrina'!$C$5:$S$19,17,FALSE())/12))</f>
        <v>0</v>
      </c>
      <c r="X10" s="18">
        <f>VLOOKUP(Q10,'Desl. Base Londrina'!$C$5:$Q$21,14,FALSE())</f>
        <v>0</v>
      </c>
      <c r="Y10" s="18">
        <f>VLOOKUP(Q10,'Desl. Base Londrina'!$C$5:$Q$19,13,FALSE())*'Desl. Base Londrina'!$E$24+'Desl. Base Londrina'!$E$25*N10/12</f>
        <v>79.492750000000001</v>
      </c>
      <c r="Z10" s="18">
        <f>(H10/$AC$5)*'Equipe Técnica'!$C$13</f>
        <v>297.51341730357569</v>
      </c>
      <c r="AA10" s="18">
        <f>(I10/$AC$5)*'Equipe Técnica'!$C$13</f>
        <v>357.0161007642908</v>
      </c>
      <c r="AB10" s="18">
        <f>(L10/$AC$5)*'Equipe Técnica'!$C$13</f>
        <v>327.26475903393327</v>
      </c>
      <c r="AC10" s="18">
        <f>(M10/$AC$5)*'Equipe Técnica'!$C$13</f>
        <v>327.26475903393327</v>
      </c>
      <c r="AD10" s="18">
        <f t="shared" si="12"/>
        <v>487.04819685620726</v>
      </c>
      <c r="AE10" s="18">
        <f t="shared" si="13"/>
        <v>565.27405881692243</v>
      </c>
      <c r="AF10" s="18">
        <f t="shared" si="14"/>
        <v>526.1611278365649</v>
      </c>
      <c r="AG10" s="18">
        <f t="shared" si="15"/>
        <v>526.1611278365649</v>
      </c>
      <c r="AI10" s="16" t="str">
        <f t="shared" si="16"/>
        <v>APS ARAPONGAS</v>
      </c>
      <c r="AJ10" s="51">
        <f>VLOOKUP(AI10,Unidades!D$5:H$29,5,)</f>
        <v>0.31419999999999998</v>
      </c>
      <c r="AK10" s="33">
        <f t="shared" si="17"/>
        <v>640.07874030842754</v>
      </c>
      <c r="AL10" s="33">
        <f t="shared" si="18"/>
        <v>742.88316809719947</v>
      </c>
      <c r="AM10" s="33">
        <f t="shared" si="19"/>
        <v>691.48095420281356</v>
      </c>
      <c r="AN10" s="33">
        <f t="shared" si="20"/>
        <v>691.48095420281356</v>
      </c>
      <c r="AO10" s="33">
        <f t="shared" si="21"/>
        <v>1060.5767015581976</v>
      </c>
      <c r="AP10" s="33">
        <f t="shared" si="23"/>
        <v>3181.7301046745924</v>
      </c>
      <c r="AQ10" s="33">
        <f t="shared" si="22"/>
        <v>4242.3068062327902</v>
      </c>
      <c r="AR10" s="52"/>
      <c r="AS10" s="55" t="s">
        <v>72</v>
      </c>
      <c r="AT10" s="204">
        <f>(SUM(AT8:AW8))/12</f>
        <v>20251.988950298062</v>
      </c>
      <c r="AU10" s="204"/>
      <c r="AV10" s="54"/>
      <c r="AW10" s="54"/>
    </row>
    <row r="11" spans="2:49" s="3" customFormat="1" ht="15" customHeight="1">
      <c r="B11" s="165" t="s">
        <v>87</v>
      </c>
      <c r="C11" s="47">
        <f>VLOOKUP($B11,Unidades!$D$5:$N$29,6,FALSE())</f>
        <v>540</v>
      </c>
      <c r="D11" s="47">
        <f>VLOOKUP($B11,Unidades!$D$5:$N$29,7,FALSE())</f>
        <v>540</v>
      </c>
      <c r="E11" s="47">
        <f>VLOOKUP($B11,Unidades!$D$5:$N$29,8,FALSE())</f>
        <v>0</v>
      </c>
      <c r="F11" s="47">
        <f>VLOOKUP($B11,Unidades!$D$5:$N$29,9,FALSE())</f>
        <v>0</v>
      </c>
      <c r="G11" s="47">
        <f t="shared" si="0"/>
        <v>540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SIM</v>
      </c>
      <c r="L11" s="48">
        <f t="shared" si="3"/>
        <v>1.6500000000000001</v>
      </c>
      <c r="M11" s="48">
        <f t="shared" si="4"/>
        <v>5.65</v>
      </c>
      <c r="N11" s="48">
        <f t="shared" si="5"/>
        <v>34.15</v>
      </c>
      <c r="O11" s="49">
        <f t="shared" si="6"/>
        <v>2361.0508192499997</v>
      </c>
      <c r="P11" s="50"/>
      <c r="Q11" s="16" t="str">
        <f t="shared" si="7"/>
        <v>APS BANDEIRANTES</v>
      </c>
      <c r="R11" s="18">
        <f t="shared" si="8"/>
        <v>93.615892500000001</v>
      </c>
      <c r="S11" s="18">
        <f t="shared" si="9"/>
        <v>112.33907099999999</v>
      </c>
      <c r="T11" s="18">
        <f t="shared" si="10"/>
        <v>102.97748175000001</v>
      </c>
      <c r="U11" s="18">
        <f t="shared" si="11"/>
        <v>582.34886174999997</v>
      </c>
      <c r="V11" s="18">
        <f>VLOOKUP(Q11,'Desl. Base Londrina'!$C$5:$S$19,13,FALSE())*($C$25+$D$25+$E$25*(VLOOKUP(Q11,'Desl. Base Londrina'!$C$5:$S$19,17,FALSE())/12))</f>
        <v>104.72996093055555</v>
      </c>
      <c r="W11" s="18">
        <f>VLOOKUP(Q11,'Desl. Base Londrina'!$C$5:$S$19,15,FALSE())*(2+(VLOOKUP(Q11,'Desl. Base Londrina'!$C$5:$S$19,17,FALSE())/12))</f>
        <v>0</v>
      </c>
      <c r="X11" s="18">
        <f>VLOOKUP(Q11,'Desl. Base Londrina'!$C$5:$Q$21,14,FALSE())</f>
        <v>0</v>
      </c>
      <c r="Y11" s="18">
        <f>VLOOKUP(Q11,'Desl. Base Londrina'!$C$5:$Q$19,13,FALSE())*'Desl. Base Londrina'!$E$24+'Desl. Base Londrina'!$E$25*N11/12</f>
        <v>109.66958333333332</v>
      </c>
      <c r="Z11" s="18">
        <f>(H11/$AC$5)*'Equipe Técnica'!$C$13</f>
        <v>297.51341730357569</v>
      </c>
      <c r="AA11" s="18">
        <f>(I11/$AC$5)*'Equipe Técnica'!$C$13</f>
        <v>357.0161007642908</v>
      </c>
      <c r="AB11" s="18">
        <f>(L11/$AC$5)*'Equipe Técnica'!$C$13</f>
        <v>327.26475903393327</v>
      </c>
      <c r="AC11" s="18">
        <f>(M11/$AC$5)*'Equipe Técnica'!$C$13</f>
        <v>1120.6338718434686</v>
      </c>
      <c r="AD11" s="18">
        <f t="shared" si="12"/>
        <v>526.53954828603185</v>
      </c>
      <c r="AE11" s="18">
        <f t="shared" si="13"/>
        <v>604.76541024674691</v>
      </c>
      <c r="AF11" s="18">
        <f t="shared" si="14"/>
        <v>565.65247926638938</v>
      </c>
      <c r="AG11" s="18">
        <f t="shared" si="15"/>
        <v>1838.3929720759247</v>
      </c>
      <c r="AI11" s="16" t="str">
        <f t="shared" si="16"/>
        <v>APS BANDEIRANTES</v>
      </c>
      <c r="AJ11" s="51">
        <f>VLOOKUP(AI11,Unidades!D$5:H$29,5,)</f>
        <v>0.31419999999999998</v>
      </c>
      <c r="AK11" s="33">
        <f t="shared" si="17"/>
        <v>691.9782743575031</v>
      </c>
      <c r="AL11" s="33">
        <f t="shared" si="18"/>
        <v>794.7827021462748</v>
      </c>
      <c r="AM11" s="33">
        <f t="shared" si="19"/>
        <v>743.38048825188889</v>
      </c>
      <c r="AN11" s="33">
        <f t="shared" si="20"/>
        <v>2416.0160439021802</v>
      </c>
      <c r="AO11" s="33">
        <f t="shared" si="21"/>
        <v>1282.1372601067578</v>
      </c>
      <c r="AP11" s="33">
        <f t="shared" si="23"/>
        <v>3846.4117803202735</v>
      </c>
      <c r="AQ11" s="33">
        <f t="shared" si="22"/>
        <v>5128.5490404270313</v>
      </c>
      <c r="AR11" s="52"/>
      <c r="AS11" s="55" t="s">
        <v>88</v>
      </c>
      <c r="AT11" s="204">
        <f>AT10*12</f>
        <v>243023.86740357673</v>
      </c>
      <c r="AU11" s="204"/>
      <c r="AV11" s="54"/>
      <c r="AW11" s="54"/>
    </row>
    <row r="12" spans="2:49" s="3" customFormat="1" ht="15" customHeight="1">
      <c r="B12" s="165" t="s">
        <v>89</v>
      </c>
      <c r="C12" s="47">
        <f>VLOOKUP($B12,Unidades!$D$5:$N$29,6,FALSE())</f>
        <v>334.4</v>
      </c>
      <c r="D12" s="47">
        <f>VLOOKUP($B12,Unidades!$D$5:$N$29,7,FALSE())</f>
        <v>296</v>
      </c>
      <c r="E12" s="47">
        <f>VLOOKUP($B12,Unidades!$D$5:$N$29,8,FALSE())</f>
        <v>38.4</v>
      </c>
      <c r="F12" s="47">
        <f>VLOOKUP($B12,Unidades!$D$5:$N$29,9,FALSE())</f>
        <v>0</v>
      </c>
      <c r="G12" s="47">
        <f t="shared" si="0"/>
        <v>309.44</v>
      </c>
      <c r="H12" s="48">
        <f t="shared" si="1"/>
        <v>1.5</v>
      </c>
      <c r="I12" s="48">
        <f t="shared" si="2"/>
        <v>1.7999999999999998</v>
      </c>
      <c r="J12" s="48" t="str">
        <f>VLOOKUP($B12,Unidades!$D$5:$N$29,10,FALSE())</f>
        <v>NÃO</v>
      </c>
      <c r="K12" s="48" t="str">
        <f>VLOOKUP($B12,Unidades!$D$5:$N$29,11,FALSE())</f>
        <v>NÃO</v>
      </c>
      <c r="L12" s="48">
        <f t="shared" si="3"/>
        <v>1.6500000000000001</v>
      </c>
      <c r="M12" s="48">
        <f t="shared" si="4"/>
        <v>1.6500000000000001</v>
      </c>
      <c r="N12" s="48">
        <f t="shared" si="5"/>
        <v>30.15</v>
      </c>
      <c r="O12" s="49">
        <f t="shared" si="6"/>
        <v>1881.6794392499999</v>
      </c>
      <c r="P12" s="50"/>
      <c r="Q12" s="16" t="str">
        <f t="shared" si="7"/>
        <v>APS CAMBARÁ</v>
      </c>
      <c r="R12" s="18">
        <f t="shared" si="8"/>
        <v>93.615892500000001</v>
      </c>
      <c r="S12" s="18">
        <f t="shared" si="9"/>
        <v>112.33907099999999</v>
      </c>
      <c r="T12" s="18">
        <f t="shared" si="10"/>
        <v>102.97748175000001</v>
      </c>
      <c r="U12" s="18">
        <f t="shared" si="11"/>
        <v>102.97748175000001</v>
      </c>
      <c r="V12" s="18">
        <f>VLOOKUP(Q12,'Desl. Base Londrina'!$C$5:$S$19,13,FALSE())*($C$25+$D$25+$E$25*(VLOOKUP(Q12,'Desl. Base Londrina'!$C$5:$S$19,17,FALSE())/12))</f>
        <v>120.66048366666666</v>
      </c>
      <c r="W12" s="18">
        <f>VLOOKUP(Q12,'Desl. Base Londrina'!$C$5:$S$19,15,FALSE())*(2+(VLOOKUP(Q12,'Desl. Base Londrina'!$C$5:$S$19,17,FALSE())/12))</f>
        <v>0</v>
      </c>
      <c r="X12" s="18">
        <f>VLOOKUP(Q12,'Desl. Base Londrina'!$C$5:$Q$21,14,FALSE())</f>
        <v>0</v>
      </c>
      <c r="Y12" s="18">
        <f>VLOOKUP(Q12,'Desl. Base Londrina'!$C$5:$Q$19,13,FALSE())*'Desl. Base Londrina'!$E$24+'Desl. Base Londrina'!$E$25*N12/12</f>
        <v>126.80941666666668</v>
      </c>
      <c r="Z12" s="18">
        <f>(H12/$AC$5)*'Equipe Técnica'!$C$13</f>
        <v>297.51341730357569</v>
      </c>
      <c r="AA12" s="18">
        <f>(I12/$AC$5)*'Equipe Técnica'!$C$13</f>
        <v>357.0161007642908</v>
      </c>
      <c r="AB12" s="18">
        <f>(L12/$AC$5)*'Equipe Técnica'!$C$13</f>
        <v>327.26475903393327</v>
      </c>
      <c r="AC12" s="18">
        <f>(M12/$AC$5)*'Equipe Técnica'!$C$13</f>
        <v>327.26475903393327</v>
      </c>
      <c r="AD12" s="18">
        <f t="shared" si="12"/>
        <v>547.42608896147044</v>
      </c>
      <c r="AE12" s="18">
        <f t="shared" si="13"/>
        <v>625.65195092218551</v>
      </c>
      <c r="AF12" s="18">
        <f t="shared" si="14"/>
        <v>586.53901994182797</v>
      </c>
      <c r="AG12" s="18">
        <f t="shared" si="15"/>
        <v>586.53901994182797</v>
      </c>
      <c r="AI12" s="16" t="str">
        <f t="shared" si="16"/>
        <v>APS CAMBARÁ</v>
      </c>
      <c r="AJ12" s="51">
        <f>VLOOKUP(AI12,Unidades!D$5:H$29,5,)</f>
        <v>0.28489999999999999</v>
      </c>
      <c r="AK12" s="33">
        <f t="shared" si="17"/>
        <v>703.38778170659339</v>
      </c>
      <c r="AL12" s="33">
        <f t="shared" si="18"/>
        <v>803.90019173991607</v>
      </c>
      <c r="AM12" s="33">
        <f t="shared" si="19"/>
        <v>753.64398672325467</v>
      </c>
      <c r="AN12" s="33">
        <f t="shared" si="20"/>
        <v>753.64398672325467</v>
      </c>
      <c r="AO12" s="33">
        <f t="shared" si="21"/>
        <v>1159.7655089673792</v>
      </c>
      <c r="AP12" s="33">
        <f t="shared" si="23"/>
        <v>3479.2965269021379</v>
      </c>
      <c r="AQ12" s="33">
        <f t="shared" si="22"/>
        <v>4639.0620358695169</v>
      </c>
      <c r="AR12" s="52"/>
      <c r="AS12" s="55" t="s">
        <v>73</v>
      </c>
      <c r="AT12" s="204">
        <f>AP22</f>
        <v>60755.966850894198</v>
      </c>
      <c r="AU12" s="204"/>
      <c r="AV12" s="52"/>
      <c r="AW12" s="52"/>
    </row>
    <row r="13" spans="2:49" s="3" customFormat="1" ht="15" customHeight="1">
      <c r="B13" s="165" t="s">
        <v>90</v>
      </c>
      <c r="C13" s="47">
        <f>VLOOKUP($B13,Unidades!$D$5:$N$29,6,FALSE())</f>
        <v>640</v>
      </c>
      <c r="D13" s="47">
        <f>VLOOKUP($B13,Unidades!$D$5:$N$29,7,FALSE())</f>
        <v>432</v>
      </c>
      <c r="E13" s="47">
        <f>VLOOKUP($B13,Unidades!$D$5:$N$29,8,FALSE())</f>
        <v>208</v>
      </c>
      <c r="F13" s="47">
        <f>VLOOKUP($B13,Unidades!$D$5:$N$29,9,FALSE())</f>
        <v>0</v>
      </c>
      <c r="G13" s="47">
        <f t="shared" si="0"/>
        <v>504.8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1881.6794392499999</v>
      </c>
      <c r="P13" s="50"/>
      <c r="Q13" s="16" t="str">
        <f t="shared" si="7"/>
        <v>APS CAMBÉ</v>
      </c>
      <c r="R13" s="18">
        <f t="shared" si="8"/>
        <v>93.615892500000001</v>
      </c>
      <c r="S13" s="18">
        <f t="shared" si="9"/>
        <v>112.33907099999999</v>
      </c>
      <c r="T13" s="18">
        <f t="shared" si="10"/>
        <v>102.97748175000001</v>
      </c>
      <c r="U13" s="18">
        <f t="shared" si="11"/>
        <v>102.97748175000001</v>
      </c>
      <c r="V13" s="18">
        <f>VLOOKUP(Q13,'Desl. Base Londrina'!$C$5:$S$19,13,FALSE())*($C$25+$D$25+$E$25*(VLOOKUP(Q13,'Desl. Base Londrina'!$C$5:$S$19,17,FALSE())/12))</f>
        <v>40.57600580555556</v>
      </c>
      <c r="W13" s="18">
        <f>VLOOKUP(Q13,'Desl. Base Londrina'!$C$5:$S$19,15,FALSE())*(2+(VLOOKUP(Q13,'Desl. Base Londrina'!$C$5:$S$19,17,FALSE())/12))</f>
        <v>0</v>
      </c>
      <c r="X13" s="18">
        <f>VLOOKUP(Q13,'Desl. Base Londrina'!$C$5:$Q$21,14,FALSE())</f>
        <v>0</v>
      </c>
      <c r="Y13" s="18">
        <f>VLOOKUP(Q13,'Desl. Base Londrina'!$C$5:$Q$19,13,FALSE())*'Desl. Base Londrina'!$E$24+'Desl. Base Londrina'!$E$25*N13/12</f>
        <v>52.049083333333328</v>
      </c>
      <c r="Z13" s="18">
        <f>(H13/$AC$5)*'Equipe Técnica'!$C$13</f>
        <v>297.51341730357569</v>
      </c>
      <c r="AA13" s="18">
        <f>(I13/$AC$5)*'Equipe Técnica'!$C$13</f>
        <v>357.0161007642908</v>
      </c>
      <c r="AB13" s="18">
        <f>(L13/$AC$5)*'Equipe Técnica'!$C$13</f>
        <v>327.26475903393327</v>
      </c>
      <c r="AC13" s="18">
        <f>(M13/$AC$5)*'Equipe Técnica'!$C$13</f>
        <v>327.26475903393327</v>
      </c>
      <c r="AD13" s="18">
        <f t="shared" si="12"/>
        <v>449.62936610182129</v>
      </c>
      <c r="AE13" s="18">
        <f t="shared" si="13"/>
        <v>527.85522806253641</v>
      </c>
      <c r="AF13" s="18">
        <f t="shared" si="14"/>
        <v>488.74229708217888</v>
      </c>
      <c r="AG13" s="18">
        <f t="shared" si="15"/>
        <v>488.74229708217888</v>
      </c>
      <c r="AI13" s="16" t="str">
        <f t="shared" si="16"/>
        <v>APS CAMBÉ</v>
      </c>
      <c r="AJ13" s="51">
        <f>VLOOKUP(AI13,Unidades!D$5:H$29,5,)</f>
        <v>0.31419999999999998</v>
      </c>
      <c r="AK13" s="33">
        <f t="shared" si="17"/>
        <v>590.90291293101359</v>
      </c>
      <c r="AL13" s="33">
        <f t="shared" si="18"/>
        <v>693.70734071978541</v>
      </c>
      <c r="AM13" s="33">
        <f t="shared" si="19"/>
        <v>642.3051268253995</v>
      </c>
      <c r="AN13" s="33">
        <f t="shared" si="20"/>
        <v>642.3051268253995</v>
      </c>
      <c r="AO13" s="33">
        <f t="shared" si="21"/>
        <v>982.71497487729209</v>
      </c>
      <c r="AP13" s="33">
        <f t="shared" si="23"/>
        <v>2948.1449246318762</v>
      </c>
      <c r="AQ13" s="33">
        <f t="shared" si="22"/>
        <v>3930.8598995091684</v>
      </c>
      <c r="AR13" s="52"/>
      <c r="AS13" s="55" t="s">
        <v>91</v>
      </c>
      <c r="AT13" s="204">
        <f>AT12*12</f>
        <v>729071.60221073031</v>
      </c>
      <c r="AU13" s="204"/>
      <c r="AV13" s="54"/>
      <c r="AW13" s="54"/>
    </row>
    <row r="14" spans="2:49" s="3" customFormat="1" ht="15" customHeight="1">
      <c r="B14" s="165" t="s">
        <v>92</v>
      </c>
      <c r="C14" s="47">
        <f>VLOOKUP($B14,Unidades!$D$5:$N$29,6,FALSE())</f>
        <v>3162.34</v>
      </c>
      <c r="D14" s="47">
        <f>VLOOKUP($B14,Unidades!$D$5:$N$29,7,FALSE())</f>
        <v>777.69</v>
      </c>
      <c r="E14" s="47">
        <f>VLOOKUP($B14,Unidades!$D$5:$N$29,8,FALSE())</f>
        <v>2384.65</v>
      </c>
      <c r="F14" s="47">
        <f>VLOOKUP($B14,Unidades!$D$5:$N$29,9,FALSE())</f>
        <v>0</v>
      </c>
      <c r="G14" s="47">
        <f t="shared" si="0"/>
        <v>1612.3175000000001</v>
      </c>
      <c r="H14" s="48">
        <f t="shared" si="1"/>
        <v>2</v>
      </c>
      <c r="I14" s="48">
        <f t="shared" si="2"/>
        <v>2.4</v>
      </c>
      <c r="J14" s="48" t="str">
        <f>VLOOKUP($B14,Unidades!$D$5:$N$29,10,FALSE())</f>
        <v>SIM</v>
      </c>
      <c r="K14" s="48" t="str">
        <f>VLOOKUP($B14,Unidades!$D$5:$N$29,11,FALSE())</f>
        <v>SIM</v>
      </c>
      <c r="L14" s="48">
        <f t="shared" si="3"/>
        <v>4.2</v>
      </c>
      <c r="M14" s="48">
        <f t="shared" si="4"/>
        <v>8.1999999999999993</v>
      </c>
      <c r="N14" s="48">
        <f t="shared" si="5"/>
        <v>50.2</v>
      </c>
      <c r="O14" s="49">
        <f t="shared" si="6"/>
        <v>3466.4238690000002</v>
      </c>
      <c r="P14" s="50"/>
      <c r="Q14" s="16" t="str">
        <f t="shared" si="7"/>
        <v>APS CORNÉLIO PROCÓPIO</v>
      </c>
      <c r="R14" s="18">
        <f t="shared" si="8"/>
        <v>124.82119</v>
      </c>
      <c r="S14" s="18">
        <f t="shared" si="9"/>
        <v>149.785428</v>
      </c>
      <c r="T14" s="18">
        <f t="shared" si="10"/>
        <v>262.12449900000001</v>
      </c>
      <c r="U14" s="18">
        <f t="shared" si="11"/>
        <v>845.17887899999994</v>
      </c>
      <c r="V14" s="18">
        <f>VLOOKUP(Q14,'Desl. Base Londrina'!$C$5:$S$19,13,FALSE())*($C$25+$D$25+$E$25*(VLOOKUP(Q14,'Desl. Base Londrina'!$C$5:$S$19,17,FALSE())/12))</f>
        <v>104.72996093055555</v>
      </c>
      <c r="W14" s="18">
        <f>VLOOKUP(Q14,'Desl. Base Londrina'!$C$5:$S$19,15,FALSE())*(2+(VLOOKUP(Q14,'Desl. Base Londrina'!$C$5:$S$19,17,FALSE())/12))</f>
        <v>0</v>
      </c>
      <c r="X14" s="18">
        <f>VLOOKUP(Q14,'Desl. Base Londrina'!$C$5:$Q$21,14,FALSE())</f>
        <v>0</v>
      </c>
      <c r="Y14" s="18">
        <f>VLOOKUP(Q14,'Desl. Base Londrina'!$C$5:$Q$19,13,FALSE())*'Desl. Base Londrina'!$E$24+'Desl. Base Londrina'!$E$25*N14/12</f>
        <v>118.73783333333333</v>
      </c>
      <c r="Z14" s="18">
        <f>(H14/$AC$5)*'Equipe Técnica'!$C$13</f>
        <v>396.68455640476759</v>
      </c>
      <c r="AA14" s="18">
        <f>(I14/$AC$5)*'Equipe Técnica'!$C$13</f>
        <v>476.02146768572112</v>
      </c>
      <c r="AB14" s="18">
        <f>(L14/$AC$5)*'Equipe Técnica'!$C$13</f>
        <v>833.03756845001203</v>
      </c>
      <c r="AC14" s="18">
        <f>(M14/$AC$5)*'Equipe Técnica'!$C$13</f>
        <v>1626.406681259547</v>
      </c>
      <c r="AD14" s="18">
        <f t="shared" si="12"/>
        <v>662.64330067669744</v>
      </c>
      <c r="AE14" s="18">
        <f t="shared" si="13"/>
        <v>766.94444995765093</v>
      </c>
      <c r="AF14" s="18">
        <f t="shared" si="14"/>
        <v>1236.299621721942</v>
      </c>
      <c r="AG14" s="18">
        <f t="shared" si="15"/>
        <v>2612.7231145314768</v>
      </c>
      <c r="AI14" s="16" t="str">
        <f t="shared" si="16"/>
        <v>APS CORNÉLIO PROCÓPIO</v>
      </c>
      <c r="AJ14" s="51">
        <f>VLOOKUP(AI14,Unidades!D$5:H$29,5,)</f>
        <v>0.31419999999999998</v>
      </c>
      <c r="AK14" s="33">
        <f t="shared" si="17"/>
        <v>870.84582574931585</v>
      </c>
      <c r="AL14" s="33">
        <f t="shared" si="18"/>
        <v>1007.9183961343449</v>
      </c>
      <c r="AM14" s="33">
        <f t="shared" si="19"/>
        <v>1624.7449628669763</v>
      </c>
      <c r="AN14" s="33">
        <f t="shared" si="20"/>
        <v>3433.6407171172668</v>
      </c>
      <c r="AO14" s="33">
        <f t="shared" si="21"/>
        <v>1763.7461780316989</v>
      </c>
      <c r="AP14" s="33">
        <f t="shared" si="23"/>
        <v>5291.2385340950968</v>
      </c>
      <c r="AQ14" s="33">
        <f t="shared" si="22"/>
        <v>7054.9847121267958</v>
      </c>
      <c r="AR14" s="52"/>
      <c r="AS14" s="55" t="s">
        <v>74</v>
      </c>
      <c r="AT14" s="204">
        <f>AT10+AT12</f>
        <v>81007.955801192264</v>
      </c>
      <c r="AU14" s="204"/>
      <c r="AV14" s="54"/>
      <c r="AW14" s="54"/>
    </row>
    <row r="15" spans="2:49" s="3" customFormat="1" ht="15" customHeight="1">
      <c r="B15" s="165" t="s">
        <v>93</v>
      </c>
      <c r="C15" s="47">
        <f>VLOOKUP($B15,Unidades!$D$5:$N$29,6,FALSE())</f>
        <v>2748</v>
      </c>
      <c r="D15" s="47">
        <f>VLOOKUP($B15,Unidades!$D$5:$N$29,7,FALSE())</f>
        <v>1090</v>
      </c>
      <c r="E15" s="47">
        <f>VLOOKUP($B15,Unidades!$D$5:$N$29,8,FALSE())</f>
        <v>1313.41</v>
      </c>
      <c r="F15" s="47">
        <f>VLOOKUP($B15,Unidades!$D$5:$N$29,9,FALSE())</f>
        <v>344.59</v>
      </c>
      <c r="G15" s="47">
        <f t="shared" si="0"/>
        <v>1584.1524999999999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SIM</v>
      </c>
      <c r="K15" s="48" t="str">
        <f>VLOOKUP($B15,Unidades!$D$5:$N$29,11,FALSE())</f>
        <v>SIM</v>
      </c>
      <c r="L15" s="48">
        <f t="shared" si="3"/>
        <v>4.2</v>
      </c>
      <c r="M15" s="48">
        <f t="shared" si="4"/>
        <v>8.1999999999999993</v>
      </c>
      <c r="N15" s="48">
        <f t="shared" si="5"/>
        <v>50.2</v>
      </c>
      <c r="O15" s="49">
        <f t="shared" si="6"/>
        <v>3466.4238690000002</v>
      </c>
      <c r="P15" s="50"/>
      <c r="Q15" s="16" t="str">
        <f t="shared" si="7"/>
        <v>APS JACAREZINHO</v>
      </c>
      <c r="R15" s="18">
        <f t="shared" si="8"/>
        <v>124.82119</v>
      </c>
      <c r="S15" s="18">
        <f t="shared" si="9"/>
        <v>149.785428</v>
      </c>
      <c r="T15" s="18">
        <f t="shared" si="10"/>
        <v>262.12449900000001</v>
      </c>
      <c r="U15" s="18">
        <f t="shared" si="11"/>
        <v>845.17887899999994</v>
      </c>
      <c r="V15" s="18">
        <f>VLOOKUP(Q15,'Desl. Base Londrina'!$C$5:$S$19,13,FALSE())*($C$25+$D$25+$E$25*(VLOOKUP(Q15,'Desl. Base Londrina'!$C$5:$S$19,17,FALSE())/12))</f>
        <v>162.85234762500002</v>
      </c>
      <c r="W15" s="18">
        <f>VLOOKUP(Q15,'Desl. Base Londrina'!$C$5:$S$19,15,FALSE())*(2+(VLOOKUP(Q15,'Desl. Base Londrina'!$C$5:$S$19,17,FALSE())/12))</f>
        <v>0</v>
      </c>
      <c r="X15" s="18">
        <f>VLOOKUP(Q15,'Desl. Base Londrina'!$C$5:$Q$21,14,FALSE())</f>
        <v>0</v>
      </c>
      <c r="Y15" s="18">
        <f>VLOOKUP(Q15,'Desl. Base Londrina'!$C$5:$Q$19,13,FALSE())*'Desl. Base Londrina'!$E$24+'Desl. Base Londrina'!$E$25*N15/12</f>
        <v>168.89350000000002</v>
      </c>
      <c r="Z15" s="18">
        <f>(H15/$AC$5)*'Equipe Técnica'!$C$13</f>
        <v>396.68455640476759</v>
      </c>
      <c r="AA15" s="18">
        <f>(I15/$AC$5)*'Equipe Técnica'!$C$13</f>
        <v>476.02146768572112</v>
      </c>
      <c r="AB15" s="18">
        <f>(L15/$AC$5)*'Equipe Técnica'!$C$13</f>
        <v>833.03756845001203</v>
      </c>
      <c r="AC15" s="18">
        <f>(M15/$AC$5)*'Equipe Técnica'!$C$13</f>
        <v>1626.406681259547</v>
      </c>
      <c r="AD15" s="18">
        <f t="shared" si="12"/>
        <v>731.02943964160977</v>
      </c>
      <c r="AE15" s="18">
        <f t="shared" si="13"/>
        <v>835.33058892256327</v>
      </c>
      <c r="AF15" s="18">
        <f t="shared" si="14"/>
        <v>1304.6857606868541</v>
      </c>
      <c r="AG15" s="18">
        <f t="shared" si="15"/>
        <v>2681.1092534963891</v>
      </c>
      <c r="AI15" s="16" t="str">
        <f t="shared" si="16"/>
        <v>APS JACAREZINHO</v>
      </c>
      <c r="AJ15" s="51">
        <f>VLOOKUP(AI15,Unidades!D$5:H$29,5,)</f>
        <v>0.31419999999999998</v>
      </c>
      <c r="AK15" s="33">
        <f t="shared" si="17"/>
        <v>960.71888957700355</v>
      </c>
      <c r="AL15" s="33">
        <f t="shared" si="18"/>
        <v>1097.7914599620326</v>
      </c>
      <c r="AM15" s="33">
        <f t="shared" si="19"/>
        <v>1714.6180266946637</v>
      </c>
      <c r="AN15" s="33">
        <f t="shared" si="20"/>
        <v>3523.5137809449548</v>
      </c>
      <c r="AO15" s="33">
        <f t="shared" si="21"/>
        <v>1906.0451957588712</v>
      </c>
      <c r="AP15" s="33">
        <f t="shared" si="23"/>
        <v>5718.1355872766135</v>
      </c>
      <c r="AQ15" s="33">
        <f t="shared" si="22"/>
        <v>7624.1807830354846</v>
      </c>
      <c r="AR15" s="52"/>
      <c r="AS15" s="55" t="s">
        <v>94</v>
      </c>
      <c r="AT15" s="204">
        <f>AT11+AT13</f>
        <v>972095.46961430705</v>
      </c>
      <c r="AU15" s="204"/>
      <c r="AV15" s="52"/>
      <c r="AW15" s="52"/>
    </row>
    <row r="16" spans="2:49" s="3" customFormat="1" ht="15" customHeight="1">
      <c r="B16" s="165" t="s">
        <v>95</v>
      </c>
      <c r="C16" s="47">
        <f>VLOOKUP($B16,Unidades!$D$5:$N$29,6,FALSE())</f>
        <v>2227.69</v>
      </c>
      <c r="D16" s="47">
        <f>VLOOKUP($B16,Unidades!$D$5:$N$29,7,FALSE())</f>
        <v>871.93</v>
      </c>
      <c r="E16" s="47">
        <f>VLOOKUP($B16,Unidades!$D$5:$N$29,8,FALSE())</f>
        <v>1016.64</v>
      </c>
      <c r="F16" s="47">
        <f>VLOOKUP($B16,Unidades!$D$5:$N$29,9,FALSE())</f>
        <v>339.12</v>
      </c>
      <c r="G16" s="47">
        <f t="shared" si="0"/>
        <v>1261.6659999999999</v>
      </c>
      <c r="H16" s="48">
        <f t="shared" si="1"/>
        <v>2</v>
      </c>
      <c r="I16" s="48">
        <f t="shared" si="2"/>
        <v>2.4</v>
      </c>
      <c r="J16" s="48" t="str">
        <f>VLOOKUP($B16,Unidades!$D$5:$N$29,10,FALSE())</f>
        <v>SIM</v>
      </c>
      <c r="K16" s="48" t="str">
        <f>VLOOKUP($B16,Unidades!$D$5:$N$29,11,FALSE())</f>
        <v>NÃO</v>
      </c>
      <c r="L16" s="48">
        <f t="shared" si="3"/>
        <v>4.2</v>
      </c>
      <c r="M16" s="48">
        <f t="shared" si="4"/>
        <v>4.2</v>
      </c>
      <c r="N16" s="48">
        <f t="shared" si="5"/>
        <v>46.2</v>
      </c>
      <c r="O16" s="49">
        <f t="shared" si="6"/>
        <v>2883.3694890000002</v>
      </c>
      <c r="P16" s="50"/>
      <c r="Q16" s="16" t="str">
        <f t="shared" si="7"/>
        <v>APS LONDRINA-CENTRO</v>
      </c>
      <c r="R16" s="18">
        <f t="shared" si="8"/>
        <v>124.82119</v>
      </c>
      <c r="S16" s="18">
        <f t="shared" si="9"/>
        <v>149.785428</v>
      </c>
      <c r="T16" s="18">
        <f t="shared" si="10"/>
        <v>262.12449900000001</v>
      </c>
      <c r="U16" s="18">
        <f t="shared" si="11"/>
        <v>262.12449900000001</v>
      </c>
      <c r="V16" s="18">
        <f>VLOOKUP(Q16,'Desl. Base Londrina'!$C$5:$S$19,13,FALSE())*($C$25+$D$25+$E$25*(VLOOKUP(Q16,'Desl. Base Londrina'!$C$5:$S$19,17,FALSE())/12))</f>
        <v>13.708110069444446</v>
      </c>
      <c r="W16" s="18">
        <f>VLOOKUP(Q16,'Desl. Base Londrina'!$C$5:$S$19,15,FALSE())*(2+(VLOOKUP(Q16,'Desl. Base Londrina'!$C$5:$S$19,17,FALSE())/12))</f>
        <v>0</v>
      </c>
      <c r="X16" s="18">
        <f>VLOOKUP(Q16,'Desl. Base Londrina'!$C$5:$Q$21,14,FALSE())</f>
        <v>0</v>
      </c>
      <c r="Y16" s="18">
        <f>VLOOKUP(Q16,'Desl. Base Londrina'!$C$5:$Q$19,13,FALSE())*'Desl. Base Londrina'!$E$24+'Desl. Base Londrina'!$E$25*N16/12</f>
        <v>37.932166666666674</v>
      </c>
      <c r="Z16" s="18">
        <f>(H16/$AC$5)*'Equipe Técnica'!$C$13</f>
        <v>396.68455640476759</v>
      </c>
      <c r="AA16" s="18">
        <f>(I16/$AC$5)*'Equipe Técnica'!$C$13</f>
        <v>476.02146768572112</v>
      </c>
      <c r="AB16" s="18">
        <f>(L16/$AC$5)*'Equipe Técnica'!$C$13</f>
        <v>833.03756845001203</v>
      </c>
      <c r="AC16" s="18">
        <f>(M16/$AC$5)*'Equipe Técnica'!$C$13</f>
        <v>833.03756845001203</v>
      </c>
      <c r="AD16" s="18">
        <f t="shared" si="12"/>
        <v>554.12065802757456</v>
      </c>
      <c r="AE16" s="18">
        <f t="shared" si="13"/>
        <v>658.42180730852817</v>
      </c>
      <c r="AF16" s="18">
        <f t="shared" si="14"/>
        <v>1127.7769790728191</v>
      </c>
      <c r="AG16" s="18">
        <f t="shared" si="15"/>
        <v>1127.7769790728191</v>
      </c>
      <c r="AI16" s="16" t="str">
        <f t="shared" si="16"/>
        <v>APS LONDRINA-CENTRO</v>
      </c>
      <c r="AJ16" s="51">
        <f>VLOOKUP(AI16,Unidades!D$5:H$29,5,)</f>
        <v>0.31419999999999998</v>
      </c>
      <c r="AK16" s="33">
        <f t="shared" si="17"/>
        <v>728.2253687798385</v>
      </c>
      <c r="AL16" s="33">
        <f t="shared" si="18"/>
        <v>865.29793916486778</v>
      </c>
      <c r="AM16" s="33">
        <f t="shared" si="19"/>
        <v>1482.1245058974989</v>
      </c>
      <c r="AN16" s="33">
        <f t="shared" si="20"/>
        <v>1482.1245058974989</v>
      </c>
      <c r="AO16" s="33">
        <f t="shared" si="21"/>
        <v>1387.1891416425026</v>
      </c>
      <c r="AP16" s="33">
        <f t="shared" si="23"/>
        <v>4161.567424927508</v>
      </c>
      <c r="AQ16" s="33">
        <f t="shared" si="22"/>
        <v>5548.7565665700104</v>
      </c>
      <c r="AR16" s="52"/>
      <c r="AS16" s="52"/>
      <c r="AT16" s="52"/>
      <c r="AU16" s="52"/>
      <c r="AV16" s="52"/>
      <c r="AW16" s="52"/>
    </row>
    <row r="17" spans="2:49" s="3" customFormat="1" ht="15" customHeight="1">
      <c r="B17" s="165" t="s">
        <v>96</v>
      </c>
      <c r="C17" s="47">
        <f>VLOOKUP($B17,Unidades!$D$5:$N$29,6,FALSE())</f>
        <v>744.51</v>
      </c>
      <c r="D17" s="47">
        <f>VLOOKUP($B17,Unidades!$D$5:$N$29,7,FALSE())</f>
        <v>744.51</v>
      </c>
      <c r="E17" s="47">
        <f>VLOOKUP($B17,Unidades!$D$5:$N$29,8,FALSE())</f>
        <v>0</v>
      </c>
      <c r="F17" s="47">
        <f>VLOOKUP($B17,Unidades!$D$5:$N$29,9,FALSE())</f>
        <v>0</v>
      </c>
      <c r="G17" s="47">
        <f t="shared" si="0"/>
        <v>744.51</v>
      </c>
      <c r="H17" s="48">
        <f t="shared" si="1"/>
        <v>1.5</v>
      </c>
      <c r="I17" s="48">
        <f t="shared" si="2"/>
        <v>1.7999999999999998</v>
      </c>
      <c r="J17" s="48" t="str">
        <f>VLOOKUP($B17,Unidades!$D$5:$N$29,10,FALSE())</f>
        <v>SIM</v>
      </c>
      <c r="K17" s="48" t="str">
        <f>VLOOKUP($B17,Unidades!$D$5:$N$29,11,FALSE())</f>
        <v>SIM</v>
      </c>
      <c r="L17" s="48">
        <f t="shared" si="3"/>
        <v>3.6500000000000004</v>
      </c>
      <c r="M17" s="48">
        <f t="shared" si="4"/>
        <v>7.65</v>
      </c>
      <c r="N17" s="48">
        <f t="shared" si="5"/>
        <v>40.15</v>
      </c>
      <c r="O17" s="49">
        <f t="shared" si="6"/>
        <v>2816.8343892499997</v>
      </c>
      <c r="P17" s="50"/>
      <c r="Q17" s="16" t="str">
        <f t="shared" si="7"/>
        <v>APS LONDRINA-SHANGRILÁ</v>
      </c>
      <c r="R17" s="18">
        <f t="shared" si="8"/>
        <v>93.615892500000001</v>
      </c>
      <c r="S17" s="18">
        <f t="shared" si="9"/>
        <v>112.33907099999999</v>
      </c>
      <c r="T17" s="18">
        <f t="shared" si="10"/>
        <v>227.79867175000001</v>
      </c>
      <c r="U17" s="18">
        <f t="shared" si="11"/>
        <v>788.49005175000002</v>
      </c>
      <c r="V17" s="18">
        <f>VLOOKUP(Q17,'Desl. Base Londrina'!$C$5:$S$19,13,FALSE())*($C$25+$D$25+$E$25*(VLOOKUP(Q17,'Desl. Base Londrina'!$C$5:$S$19,17,FALSE())/12))</f>
        <v>13.708110069444446</v>
      </c>
      <c r="W17" s="18">
        <f>VLOOKUP(Q17,'Desl. Base Londrina'!$C$5:$S$19,15,FALSE())*(2+(VLOOKUP(Q17,'Desl. Base Londrina'!$C$5:$S$19,17,FALSE())/12))</f>
        <v>0</v>
      </c>
      <c r="X17" s="18">
        <f>VLOOKUP(Q17,'Desl. Base Londrina'!$C$5:$Q$21,14,FALSE())</f>
        <v>0</v>
      </c>
      <c r="Y17" s="18">
        <f>VLOOKUP(Q17,'Desl. Base Londrina'!$C$5:$Q$19,13,FALSE())*'Desl. Base Londrina'!$E$24+'Desl. Base Londrina'!$E$25*N17/12</f>
        <v>34.513916666666667</v>
      </c>
      <c r="Z17" s="18">
        <f>(H17/$AC$5)*'Equipe Técnica'!$C$13</f>
        <v>297.51341730357569</v>
      </c>
      <c r="AA17" s="18">
        <f>(I17/$AC$5)*'Equipe Técnica'!$C$13</f>
        <v>357.0161007642908</v>
      </c>
      <c r="AB17" s="18">
        <f>(L17/$AC$5)*'Equipe Técnica'!$C$13</f>
        <v>723.94931543870086</v>
      </c>
      <c r="AC17" s="18">
        <f>(M17/$AC$5)*'Equipe Técnica'!$C$13</f>
        <v>1517.3184282482359</v>
      </c>
      <c r="AD17" s="18">
        <f t="shared" si="12"/>
        <v>421.58532668954058</v>
      </c>
      <c r="AE17" s="18">
        <f t="shared" si="13"/>
        <v>499.8111886502557</v>
      </c>
      <c r="AF17" s="18">
        <f t="shared" si="14"/>
        <v>982.20400407466582</v>
      </c>
      <c r="AG17" s="18">
        <f t="shared" si="15"/>
        <v>2336.264496884201</v>
      </c>
      <c r="AI17" s="16" t="str">
        <f t="shared" si="16"/>
        <v>APS LONDRINA-SHANGRILÁ</v>
      </c>
      <c r="AJ17" s="51">
        <f>VLOOKUP(AI17,Unidades!D$5:H$29,5,)</f>
        <v>0.31419999999999998</v>
      </c>
      <c r="AK17" s="33">
        <f t="shared" si="17"/>
        <v>554.0474363353942</v>
      </c>
      <c r="AL17" s="33">
        <f t="shared" si="18"/>
        <v>656.85186412416601</v>
      </c>
      <c r="AM17" s="33">
        <f t="shared" si="19"/>
        <v>1290.8125021549258</v>
      </c>
      <c r="AN17" s="33">
        <f t="shared" si="20"/>
        <v>3070.3188018052169</v>
      </c>
      <c r="AO17" s="33">
        <f t="shared" si="21"/>
        <v>1243.9933748863721</v>
      </c>
      <c r="AP17" s="33">
        <f t="shared" si="23"/>
        <v>3731.980124659116</v>
      </c>
      <c r="AQ17" s="33">
        <f t="shared" si="22"/>
        <v>4975.9734995454883</v>
      </c>
      <c r="AR17" s="52"/>
      <c r="AS17" s="52"/>
      <c r="AT17" s="52"/>
      <c r="AU17" s="52"/>
      <c r="AV17" s="52"/>
      <c r="AW17" s="52"/>
    </row>
    <row r="18" spans="2:49" s="3" customFormat="1" ht="15" customHeight="1">
      <c r="B18" s="165" t="s">
        <v>97</v>
      </c>
      <c r="C18" s="47">
        <f>VLOOKUP($B18,Unidades!$D$5:$N$29,6,FALSE())</f>
        <v>927.97</v>
      </c>
      <c r="D18" s="47">
        <f>VLOOKUP($B18,Unidades!$D$5:$N$29,7,FALSE())</f>
        <v>696.73</v>
      </c>
      <c r="E18" s="47">
        <f>VLOOKUP($B18,Unidades!$D$5:$N$29,8,FALSE())</f>
        <v>231.24</v>
      </c>
      <c r="F18" s="47">
        <f>VLOOKUP($B18,Unidades!$D$5:$N$29,9,FALSE())</f>
        <v>0</v>
      </c>
      <c r="G18" s="47">
        <f t="shared" si="0"/>
        <v>777.66399999999999</v>
      </c>
      <c r="H18" s="48">
        <f t="shared" si="1"/>
        <v>2</v>
      </c>
      <c r="I18" s="48">
        <f t="shared" si="2"/>
        <v>2.4</v>
      </c>
      <c r="J18" s="48" t="str">
        <f>VLOOKUP($B18,Unidades!$D$5:$N$29,10,FALSE())</f>
        <v>NÃO</v>
      </c>
      <c r="K18" s="48" t="str">
        <f>VLOOKUP($B18,Unidades!$D$5:$N$29,11,FALSE())</f>
        <v>SIM</v>
      </c>
      <c r="L18" s="48">
        <f t="shared" si="3"/>
        <v>2.2000000000000002</v>
      </c>
      <c r="M18" s="48">
        <f t="shared" si="4"/>
        <v>6.2</v>
      </c>
      <c r="N18" s="48">
        <f t="shared" si="5"/>
        <v>44.2</v>
      </c>
      <c r="O18" s="49">
        <f t="shared" si="6"/>
        <v>3010.6402990000001</v>
      </c>
      <c r="P18" s="50"/>
      <c r="Q18" s="16" t="str">
        <f t="shared" si="7"/>
        <v>APS ROLÂNDIA</v>
      </c>
      <c r="R18" s="18">
        <f t="shared" si="8"/>
        <v>124.82119</v>
      </c>
      <c r="S18" s="18">
        <f t="shared" si="9"/>
        <v>149.785428</v>
      </c>
      <c r="T18" s="18">
        <f t="shared" si="10"/>
        <v>137.30330900000001</v>
      </c>
      <c r="U18" s="18">
        <f t="shared" si="11"/>
        <v>639.037689</v>
      </c>
      <c r="V18" s="18">
        <f>VLOOKUP(Q18,'Desl. Base Londrina'!$C$5:$S$19,13,FALSE())*($C$25+$D$25+$E$25*(VLOOKUP(Q18,'Desl. Base Londrina'!$C$5:$S$19,17,FALSE())/12))</f>
        <v>40.57600580555556</v>
      </c>
      <c r="W18" s="18">
        <f>VLOOKUP(Q18,'Desl. Base Londrina'!$C$5:$S$19,15,FALSE())*(2+(VLOOKUP(Q18,'Desl. Base Londrina'!$C$5:$S$19,17,FALSE())/12))</f>
        <v>0</v>
      </c>
      <c r="X18" s="18">
        <f>VLOOKUP(Q18,'Desl. Base Londrina'!$C$5:$Q$21,14,FALSE())</f>
        <v>0</v>
      </c>
      <c r="Y18" s="18">
        <f>VLOOKUP(Q18,'Desl. Base Londrina'!$C$5:$Q$19,13,FALSE())*'Desl. Base Londrina'!$E$24+'Desl. Base Londrina'!$E$25*N18/12</f>
        <v>59.987333333333339</v>
      </c>
      <c r="Z18" s="18">
        <f>(H18/$AC$5)*'Equipe Técnica'!$C$13</f>
        <v>396.68455640476759</v>
      </c>
      <c r="AA18" s="18">
        <f>(I18/$AC$5)*'Equipe Técnica'!$C$13</f>
        <v>476.02146768572112</v>
      </c>
      <c r="AB18" s="18">
        <f>(L18/$AC$5)*'Equipe Técnica'!$C$13</f>
        <v>436.35301204524433</v>
      </c>
      <c r="AC18" s="18">
        <f>(M18/$AC$5)*'Equipe Técnica'!$C$13</f>
        <v>1229.7221248547796</v>
      </c>
      <c r="AD18" s="18">
        <f t="shared" si="12"/>
        <v>585.01943428196057</v>
      </c>
      <c r="AE18" s="18">
        <f t="shared" si="13"/>
        <v>689.32058356291418</v>
      </c>
      <c r="AF18" s="18">
        <f t="shared" si="14"/>
        <v>637.17000892243732</v>
      </c>
      <c r="AG18" s="18">
        <f t="shared" si="15"/>
        <v>1932.2735017319726</v>
      </c>
      <c r="AI18" s="16" t="str">
        <f t="shared" si="16"/>
        <v>APS ROLÂNDIA</v>
      </c>
      <c r="AJ18" s="51">
        <f>VLOOKUP(AI18,Unidades!D$5:H$29,5,)</f>
        <v>0.31419999999999998</v>
      </c>
      <c r="AK18" s="33">
        <f t="shared" si="17"/>
        <v>768.83254053335259</v>
      </c>
      <c r="AL18" s="33">
        <f t="shared" si="18"/>
        <v>905.90511091838187</v>
      </c>
      <c r="AM18" s="33">
        <f t="shared" si="19"/>
        <v>837.36882572586717</v>
      </c>
      <c r="AN18" s="33">
        <f t="shared" si="20"/>
        <v>2539.3938359761582</v>
      </c>
      <c r="AO18" s="33">
        <f t="shared" si="21"/>
        <v>1421.9785347918043</v>
      </c>
      <c r="AP18" s="33">
        <f t="shared" si="23"/>
        <v>4265.9356043754133</v>
      </c>
      <c r="AQ18" s="33">
        <f t="shared" si="22"/>
        <v>5687.9141391672174</v>
      </c>
      <c r="AR18" s="52"/>
      <c r="AS18" s="52"/>
      <c r="AT18" s="52"/>
      <c r="AU18" s="52"/>
      <c r="AV18" s="52"/>
      <c r="AW18" s="52"/>
    </row>
    <row r="19" spans="2:49" s="3" customFormat="1" ht="15" customHeight="1">
      <c r="B19" s="165" t="s">
        <v>98</v>
      </c>
      <c r="C19" s="47">
        <f>VLOOKUP($B19,Unidades!$D$5:$N$29,6,FALSE())</f>
        <v>334.4</v>
      </c>
      <c r="D19" s="47">
        <f>VLOOKUP($B19,Unidades!$D$5:$N$29,7,FALSE())</f>
        <v>296</v>
      </c>
      <c r="E19" s="47">
        <f>VLOOKUP($B19,Unidades!$D$5:$N$29,8,FALSE())</f>
        <v>38.4</v>
      </c>
      <c r="F19" s="47">
        <f>VLOOKUP($B19,Unidades!$D$5:$N$29,9,FALSE())</f>
        <v>0</v>
      </c>
      <c r="G19" s="47">
        <f t="shared" ref="G19:G21" si="24">D19+E19*$E$6+F19*$F$6</f>
        <v>309.44</v>
      </c>
      <c r="H19" s="48">
        <f t="shared" ref="H19:H21" si="25">IF(G19&lt;750,1.5,IF(G19&lt;2000,2,IF(G19&lt;4000,3,12)))</f>
        <v>1.5</v>
      </c>
      <c r="I19" s="48">
        <f t="shared" ref="I19:I21" si="26">$I$6*H19</f>
        <v>1.7999999999999998</v>
      </c>
      <c r="J19" s="48" t="str">
        <f>VLOOKUP($B19,Unidades!$D$5:$N$29,10,FALSE())</f>
        <v>NÃO</v>
      </c>
      <c r="K19" s="48" t="str">
        <f>VLOOKUP($B19,Unidades!$D$5:$N$29,11,FALSE())</f>
        <v>NÃO</v>
      </c>
      <c r="L19" s="48">
        <f t="shared" ref="L19:L21" si="27">$L$6*H19+(IF(J19="SIM",$J$6,0))</f>
        <v>1.6500000000000001</v>
      </c>
      <c r="M19" s="48">
        <f t="shared" ref="M19:M21" si="28">$M$6*H19+(IF(J19="SIM",$J$6,0))+(IF(K19="SIM",$K$6,0))</f>
        <v>1.6500000000000001</v>
      </c>
      <c r="N19" s="48">
        <f t="shared" ref="N19:N21" si="29">H19*12+I19*4+L19*2+M19</f>
        <v>30.15</v>
      </c>
      <c r="O19" s="49">
        <f t="shared" ref="O19:O21" si="30">IF(K19="não", N19*(C$25+D$25),N19*(C$25+D$25)+(M19*+E$25))</f>
        <v>1881.6794392499999</v>
      </c>
      <c r="P19" s="50"/>
      <c r="Q19" s="16" t="str">
        <f t="shared" ref="Q19:Q21" si="31">B19</f>
        <v>APS SANTO ANTÔNIO DA PLATINA</v>
      </c>
      <c r="R19" s="18">
        <f t="shared" ref="R19:R21" si="32">H19*($C$25+$D$25)</f>
        <v>93.615892500000001</v>
      </c>
      <c r="S19" s="18">
        <f t="shared" ref="S19:S21" si="33">I19*($C$25+$D$25)</f>
        <v>112.33907099999999</v>
      </c>
      <c r="T19" s="18">
        <f t="shared" ref="T19:T21" si="34">L19*($C$25+$D$25)</f>
        <v>102.97748175000001</v>
      </c>
      <c r="U19" s="18">
        <f t="shared" ref="U19:U21" si="35">IF(K19="não",M19*($C$25+$D$25),M19*(C$25+D$25+E$25))</f>
        <v>102.97748175000001</v>
      </c>
      <c r="V19" s="18">
        <f>VLOOKUP(Q19,'Desl. Base Londrina'!$C$5:$S$19,13,FALSE())*($C$25+$D$25+$E$25*(VLOOKUP(Q19,'Desl. Base Londrina'!$C$5:$S$19,17,FALSE())/12))</f>
        <v>162.85234762500002</v>
      </c>
      <c r="W19" s="18">
        <f>VLOOKUP(Q19,'Desl. Base Londrina'!$C$5:$S$19,15,FALSE())*(2+(VLOOKUP(Q19,'Desl. Base Londrina'!$C$5:$S$19,17,FALSE())/12))</f>
        <v>0</v>
      </c>
      <c r="X19" s="18">
        <f>VLOOKUP(Q19,'Desl. Base Londrina'!$C$5:$Q$21,14,FALSE())</f>
        <v>0</v>
      </c>
      <c r="Y19" s="18">
        <f>VLOOKUP(Q19,'Desl. Base Londrina'!$C$5:$Q$19,13,FALSE())*'Desl. Base Londrina'!$E$24+'Desl. Base Londrina'!$E$25*N19/12</f>
        <v>157.56525000000002</v>
      </c>
      <c r="Z19" s="18">
        <f>(H19/$AC$5)*'Equipe Técnica'!$C$13</f>
        <v>297.51341730357569</v>
      </c>
      <c r="AA19" s="18">
        <f>(I19/$AC$5)*'Equipe Técnica'!$C$13</f>
        <v>357.0161007642908</v>
      </c>
      <c r="AB19" s="18">
        <f>(L19/$AC$5)*'Equipe Técnica'!$C$13</f>
        <v>327.26475903393327</v>
      </c>
      <c r="AC19" s="18">
        <f>(M19/$AC$5)*'Equipe Técnica'!$C$13</f>
        <v>327.26475903393327</v>
      </c>
      <c r="AD19" s="18">
        <f t="shared" ref="AD19:AD21" si="36">R19+(($V19+$W19+$X19+$Y19)*12/19)+$Z19</f>
        <v>593.49831882989156</v>
      </c>
      <c r="AE19" s="18">
        <f t="shared" ref="AE19:AE21" si="37">S19+(($V19+$W19+$X19+$Y19)*12/19)+$AA19</f>
        <v>671.72418079060662</v>
      </c>
      <c r="AF19" s="18">
        <f t="shared" ref="AF19:AF21" si="38">T19+(($V19+$W19+$X19+$Y19)*12/19)+$AB19</f>
        <v>632.61124981024909</v>
      </c>
      <c r="AG19" s="18">
        <f t="shared" ref="AG19:AG21" si="39">U19+(($V19+$W19+$X19+$Y19)*12/19)+$AC19</f>
        <v>632.61124981024909</v>
      </c>
      <c r="AI19" s="16" t="str">
        <f t="shared" ref="AI19:AI21" si="40">B19</f>
        <v>APS SANTO ANTÔNIO DA PLATINA</v>
      </c>
      <c r="AJ19" s="51">
        <f>VLOOKUP(AI19,Unidades!D$5:H$29,5,)</f>
        <v>0.28489999999999999</v>
      </c>
      <c r="AK19" s="33">
        <f t="shared" ref="AK19:AK21" si="41">AD19*(1+$AJ19)</f>
        <v>762.58598986452762</v>
      </c>
      <c r="AL19" s="33">
        <f t="shared" ref="AL19:AL21" si="42">AE19*(1+$AJ19)</f>
        <v>863.09839989785041</v>
      </c>
      <c r="AM19" s="33">
        <f t="shared" ref="AM19:AM21" si="43">AF19*(1+$AJ19)</f>
        <v>812.84219488118902</v>
      </c>
      <c r="AN19" s="33">
        <f t="shared" ref="AN19:AN21" si="44">AG19*(1+$AJ19)</f>
        <v>812.84219488118902</v>
      </c>
      <c r="AO19" s="33">
        <f t="shared" ref="AO19:AO21" si="45">((AK19*12)+(AL19*4)+(AM19*2)+AN19)/12</f>
        <v>1253.4960052174417</v>
      </c>
      <c r="AP19" s="33">
        <f t="shared" ref="AP19:AP21" si="46">AO19*3</f>
        <v>3760.488015652325</v>
      </c>
      <c r="AQ19" s="33">
        <f t="shared" ref="AQ19:AQ21" si="47">AO19+AP19</f>
        <v>5013.9840208697669</v>
      </c>
      <c r="AR19" s="52"/>
      <c r="AS19" s="52"/>
      <c r="AT19" s="52"/>
      <c r="AU19" s="52"/>
      <c r="AV19" s="52"/>
      <c r="AW19" s="52"/>
    </row>
    <row r="20" spans="2:49" s="3" customFormat="1" ht="15" customHeight="1">
      <c r="B20" s="165" t="s">
        <v>99</v>
      </c>
      <c r="C20" s="47">
        <f>VLOOKUP($B20,Unidades!$D$5:$N$29,6,FALSE())</f>
        <v>1761.41</v>
      </c>
      <c r="D20" s="47">
        <f>VLOOKUP($B20,Unidades!$D$5:$N$29,7,FALSE())</f>
        <v>1378.65</v>
      </c>
      <c r="E20" s="47">
        <f>VLOOKUP($B20,Unidades!$D$5:$N$29,8,FALSE())</f>
        <v>382.76</v>
      </c>
      <c r="F20" s="47">
        <f>VLOOKUP($B20,Unidades!$D$5:$N$29,9,FALSE())</f>
        <v>0</v>
      </c>
      <c r="G20" s="47">
        <f t="shared" si="24"/>
        <v>1512.616</v>
      </c>
      <c r="H20" s="48">
        <f t="shared" si="25"/>
        <v>2</v>
      </c>
      <c r="I20" s="48">
        <f t="shared" si="26"/>
        <v>2.4</v>
      </c>
      <c r="J20" s="48" t="str">
        <f>VLOOKUP($B20,Unidades!$D$5:$N$29,10,FALSE())</f>
        <v>SIM</v>
      </c>
      <c r="K20" s="48" t="str">
        <f>VLOOKUP($B20,Unidades!$D$5:$N$29,11,FALSE())</f>
        <v>SIM</v>
      </c>
      <c r="L20" s="48">
        <f t="shared" si="27"/>
        <v>4.2</v>
      </c>
      <c r="M20" s="48">
        <f t="shared" si="28"/>
        <v>8.1999999999999993</v>
      </c>
      <c r="N20" s="48">
        <f t="shared" si="29"/>
        <v>50.2</v>
      </c>
      <c r="O20" s="49">
        <f t="shared" si="30"/>
        <v>3466.4238690000002</v>
      </c>
      <c r="P20" s="50"/>
      <c r="Q20" s="16" t="str">
        <f t="shared" si="31"/>
        <v>GEX LONDRINA</v>
      </c>
      <c r="R20" s="18">
        <f t="shared" si="32"/>
        <v>124.82119</v>
      </c>
      <c r="S20" s="18">
        <f t="shared" si="33"/>
        <v>149.785428</v>
      </c>
      <c r="T20" s="18">
        <f t="shared" si="34"/>
        <v>262.12449900000001</v>
      </c>
      <c r="U20" s="18">
        <f t="shared" si="35"/>
        <v>845.17887899999994</v>
      </c>
      <c r="V20" s="18">
        <f>VLOOKUP(Q20,'Desl. Base Londrina'!$C$5:$S$19,13,FALSE())*($C$25+$D$25+$E$25*(VLOOKUP(Q20,'Desl. Base Londrina'!$C$5:$S$19,17,FALSE())/12))</f>
        <v>0</v>
      </c>
      <c r="W20" s="18">
        <f>VLOOKUP(Q20,'Desl. Base Londrina'!$C$5:$S$19,15,FALSE())*(2+(VLOOKUP(Q20,'Desl. Base Londrina'!$C$5:$S$19,17,FALSE())/12))</f>
        <v>0</v>
      </c>
      <c r="X20" s="18">
        <f>VLOOKUP(Q20,'Desl. Base Londrina'!$C$5:$Q$21,14,FALSE())</f>
        <v>0</v>
      </c>
      <c r="Y20" s="18">
        <f>VLOOKUP(Q20,'Desl. Base Londrina'!$C$5:$Q$19,13,FALSE())*'Desl. Base Londrina'!$E$24+'Desl. Base Londrina'!$E$25*N20/12</f>
        <v>28.363000000000003</v>
      </c>
      <c r="Z20" s="18">
        <f>(H20/$AC$5)*'Equipe Técnica'!$C$13</f>
        <v>396.68455640476759</v>
      </c>
      <c r="AA20" s="18">
        <f>(I20/$AC$5)*'Equipe Técnica'!$C$13</f>
        <v>476.02146768572112</v>
      </c>
      <c r="AB20" s="18">
        <f>(L20/$AC$5)*'Equipe Técnica'!$C$13</f>
        <v>833.03756845001203</v>
      </c>
      <c r="AC20" s="18">
        <f>(M20/$AC$5)*'Equipe Técnica'!$C$13</f>
        <v>1626.406681259547</v>
      </c>
      <c r="AD20" s="18">
        <f t="shared" si="36"/>
        <v>539.41922008897814</v>
      </c>
      <c r="AE20" s="18">
        <f t="shared" si="37"/>
        <v>643.72036936993163</v>
      </c>
      <c r="AF20" s="18">
        <f t="shared" si="38"/>
        <v>1113.0755411342225</v>
      </c>
      <c r="AG20" s="18">
        <f t="shared" si="39"/>
        <v>2489.4990339437572</v>
      </c>
      <c r="AI20" s="16" t="str">
        <f t="shared" si="40"/>
        <v>GEX LONDRINA</v>
      </c>
      <c r="AJ20" s="51">
        <f>VLOOKUP(AI20,Unidades!D$5:H$29,5,)</f>
        <v>0.31419999999999998</v>
      </c>
      <c r="AK20" s="33">
        <f t="shared" si="41"/>
        <v>708.90473904093506</v>
      </c>
      <c r="AL20" s="33">
        <f t="shared" si="42"/>
        <v>845.97730942596422</v>
      </c>
      <c r="AM20" s="33">
        <f t="shared" si="43"/>
        <v>1462.8038761585951</v>
      </c>
      <c r="AN20" s="33">
        <f t="shared" si="44"/>
        <v>3271.6996304088857</v>
      </c>
      <c r="AO20" s="33">
        <f t="shared" si="45"/>
        <v>1507.339457410096</v>
      </c>
      <c r="AP20" s="33">
        <f t="shared" si="46"/>
        <v>4522.0183722302882</v>
      </c>
      <c r="AQ20" s="33">
        <f t="shared" si="47"/>
        <v>6029.3578296403839</v>
      </c>
      <c r="AR20" s="52"/>
      <c r="AS20" s="52"/>
      <c r="AT20" s="52"/>
      <c r="AU20" s="52"/>
      <c r="AV20" s="52"/>
      <c r="AW20" s="52"/>
    </row>
    <row r="21" spans="2:49" s="3" customFormat="1" ht="15" customHeight="1">
      <c r="B21" s="165" t="s">
        <v>100</v>
      </c>
      <c r="C21" s="47">
        <f>VLOOKUP($B21,Unidades!$D$5:$N$29,6,FALSE())</f>
        <v>525</v>
      </c>
      <c r="D21" s="47">
        <f>VLOOKUP($B21,Unidades!$D$5:$N$29,7,FALSE())</f>
        <v>525</v>
      </c>
      <c r="E21" s="47">
        <f>VLOOKUP($B21,Unidades!$D$5:$N$29,8,FALSE())</f>
        <v>0</v>
      </c>
      <c r="F21" s="47">
        <f>VLOOKUP($B21,Unidades!$D$5:$N$29,9,FALSE())</f>
        <v>0</v>
      </c>
      <c r="G21" s="47">
        <f t="shared" si="24"/>
        <v>525</v>
      </c>
      <c r="H21" s="48">
        <f t="shared" si="25"/>
        <v>1.5</v>
      </c>
      <c r="I21" s="48">
        <f t="shared" si="26"/>
        <v>1.7999999999999998</v>
      </c>
      <c r="J21" s="48" t="str">
        <f>VLOOKUP($B21,Unidades!$D$5:$N$29,10,FALSE())</f>
        <v>NÃO</v>
      </c>
      <c r="K21" s="48" t="str">
        <f>VLOOKUP($B21,Unidades!$D$5:$N$29,11,FALSE())</f>
        <v>NÃO</v>
      </c>
      <c r="L21" s="48">
        <f t="shared" si="27"/>
        <v>1.6500000000000001</v>
      </c>
      <c r="M21" s="48">
        <f t="shared" si="28"/>
        <v>1.6500000000000001</v>
      </c>
      <c r="N21" s="48">
        <f t="shared" si="29"/>
        <v>30.15</v>
      </c>
      <c r="O21" s="49">
        <f t="shared" si="30"/>
        <v>1881.6794392499999</v>
      </c>
      <c r="P21" s="50"/>
      <c r="Q21" s="16" t="str">
        <f t="shared" si="31"/>
        <v>APS IBAITI</v>
      </c>
      <c r="R21" s="18">
        <f t="shared" si="32"/>
        <v>93.615892500000001</v>
      </c>
      <c r="S21" s="18">
        <f t="shared" si="33"/>
        <v>112.33907099999999</v>
      </c>
      <c r="T21" s="18">
        <f t="shared" si="34"/>
        <v>102.97748175000001</v>
      </c>
      <c r="U21" s="18">
        <f t="shared" si="35"/>
        <v>102.97748175000001</v>
      </c>
      <c r="V21" s="18">
        <f>VLOOKUP(Q21,'Desl. Base Londrina'!$C$5:$S$19,13,FALSE())*($C$25+$D$25+$E$25*(VLOOKUP(Q21,'Desl. Base Londrina'!$C$5:$S$19,17,FALSE())/12))</f>
        <v>289.16909016666671</v>
      </c>
      <c r="W21" s="18">
        <f>VLOOKUP(Q21,'Desl. Base Londrina'!$C$5:$S$19,15,FALSE())*(2+(VLOOKUP(Q21,'Desl. Base Londrina'!$C$5:$S$19,17,FALSE())/12))</f>
        <v>0</v>
      </c>
      <c r="X21" s="18">
        <f>VLOOKUP(Q21,'Desl. Base Londrina'!$C$5:$Q$21,14,FALSE())</f>
        <v>0</v>
      </c>
      <c r="Y21" s="18">
        <f>VLOOKUP(Q21,'Desl. Base Londrina'!$C$5:$Q$19,13,FALSE())*'Desl. Base Londrina'!$E$24+'Desl. Base Londrina'!$E$25*N21/12</f>
        <v>280.11541666666665</v>
      </c>
      <c r="Z21" s="18">
        <f>(H21/$AC$5)*'Equipe Técnica'!$C$13</f>
        <v>297.51341730357569</v>
      </c>
      <c r="AA21" s="18">
        <f>(I21/$AC$5)*'Equipe Técnica'!$C$13</f>
        <v>357.0161007642908</v>
      </c>
      <c r="AB21" s="18">
        <f>(L21/$AC$5)*'Equipe Técnica'!$C$13</f>
        <v>327.26475903393327</v>
      </c>
      <c r="AC21" s="18">
        <f>(M21/$AC$5)*'Equipe Técnica'!$C$13</f>
        <v>327.26475903393327</v>
      </c>
      <c r="AD21" s="18">
        <f t="shared" si="36"/>
        <v>750.67741938252311</v>
      </c>
      <c r="AE21" s="18">
        <f t="shared" si="37"/>
        <v>828.90328134323818</v>
      </c>
      <c r="AF21" s="18">
        <f t="shared" si="38"/>
        <v>789.79035036288064</v>
      </c>
      <c r="AG21" s="18">
        <f t="shared" si="39"/>
        <v>789.79035036288064</v>
      </c>
      <c r="AI21" s="16" t="str">
        <f t="shared" si="40"/>
        <v>APS IBAITI</v>
      </c>
      <c r="AJ21" s="51">
        <f>VLOOKUP(AI21,Unidades!D$5:H$29,5,)</f>
        <v>0.28489999999999999</v>
      </c>
      <c r="AK21" s="33">
        <f t="shared" si="41"/>
        <v>964.54541616460392</v>
      </c>
      <c r="AL21" s="33">
        <f t="shared" si="42"/>
        <v>1065.0578261979267</v>
      </c>
      <c r="AM21" s="33">
        <f t="shared" si="43"/>
        <v>1014.8016211812653</v>
      </c>
      <c r="AN21" s="33">
        <f t="shared" si="44"/>
        <v>1014.8016211812653</v>
      </c>
      <c r="AO21" s="33">
        <f t="shared" si="45"/>
        <v>1573.2650968592291</v>
      </c>
      <c r="AP21" s="33">
        <f t="shared" si="46"/>
        <v>4719.7952905776874</v>
      </c>
      <c r="AQ21" s="33">
        <f t="shared" si="47"/>
        <v>6293.0603874369162</v>
      </c>
      <c r="AR21" s="52"/>
      <c r="AS21" s="52"/>
      <c r="AT21" s="52"/>
      <c r="AU21" s="52"/>
      <c r="AV21" s="52"/>
      <c r="AW21" s="52"/>
    </row>
    <row r="22" spans="2:49" s="39" customFormat="1" ht="19.5" customHeight="1">
      <c r="B22" s="57" t="s">
        <v>101</v>
      </c>
      <c r="C22" s="58">
        <f t="shared" ref="C22:I22" si="48">SUM(C7:C21)</f>
        <v>18068.29</v>
      </c>
      <c r="D22" s="58">
        <f t="shared" si="48"/>
        <v>10089.68</v>
      </c>
      <c r="E22" s="58">
        <f t="shared" si="48"/>
        <v>6889.37</v>
      </c>
      <c r="F22" s="58">
        <f t="shared" si="48"/>
        <v>1089.2399999999998</v>
      </c>
      <c r="G22" s="58">
        <f t="shared" si="48"/>
        <v>12609.883500000002</v>
      </c>
      <c r="H22" s="59">
        <f t="shared" si="48"/>
        <v>25.5</v>
      </c>
      <c r="I22" s="59">
        <f t="shared" si="48"/>
        <v>30.599999999999998</v>
      </c>
      <c r="J22" s="59">
        <f>COUNTIF(J7:J21,"SIM")</f>
        <v>6</v>
      </c>
      <c r="K22" s="59">
        <f>COUNTIF(K7:K21,"SIM")</f>
        <v>7</v>
      </c>
      <c r="L22" s="59">
        <f>SUM(L7:L21)</f>
        <v>40.050000000000004</v>
      </c>
      <c r="M22" s="59">
        <f>SUM(M7:M21)</f>
        <v>68.050000000000011</v>
      </c>
      <c r="N22" s="59">
        <f>SUM(N7:N21)</f>
        <v>576.54999999999995</v>
      </c>
      <c r="O22" s="60">
        <f>SUM(O7:O21)</f>
        <v>38109.346547250003</v>
      </c>
      <c r="P22" s="61"/>
      <c r="Q22" s="59" t="s">
        <v>101</v>
      </c>
      <c r="R22" s="62">
        <f t="shared" ref="R22:AG22" si="49">SUM(R7:R21)</f>
        <v>1591.4701725</v>
      </c>
      <c r="S22" s="62">
        <f t="shared" si="49"/>
        <v>1909.7642069999997</v>
      </c>
      <c r="T22" s="62">
        <f t="shared" si="49"/>
        <v>2499.5443297500005</v>
      </c>
      <c r="U22" s="62">
        <f t="shared" si="49"/>
        <v>6373.5589897499995</v>
      </c>
      <c r="V22" s="62">
        <f t="shared" si="49"/>
        <v>1330.4224911111114</v>
      </c>
      <c r="W22" s="62">
        <f t="shared" si="49"/>
        <v>0</v>
      </c>
      <c r="X22" s="62">
        <f t="shared" si="49"/>
        <v>0</v>
      </c>
      <c r="Y22" s="62">
        <f t="shared" si="49"/>
        <v>1499.2040833333335</v>
      </c>
      <c r="Z22" s="62">
        <f t="shared" si="49"/>
        <v>5057.7280941607869</v>
      </c>
      <c r="AA22" s="62">
        <f t="shared" si="49"/>
        <v>6069.2737129929455</v>
      </c>
      <c r="AB22" s="62">
        <f t="shared" si="49"/>
        <v>7943.6082420054718</v>
      </c>
      <c r="AC22" s="62">
        <f t="shared" si="49"/>
        <v>13497.192031672215</v>
      </c>
      <c r="AD22" s="62">
        <f t="shared" si="49"/>
        <v>8436.3308399941197</v>
      </c>
      <c r="AE22" s="62">
        <f t="shared" si="49"/>
        <v>9766.170493326279</v>
      </c>
      <c r="AF22" s="62">
        <f t="shared" si="49"/>
        <v>12230.285145088805</v>
      </c>
      <c r="AG22" s="62">
        <f t="shared" si="49"/>
        <v>21657.883594755553</v>
      </c>
      <c r="AI22" s="202" t="s">
        <v>101</v>
      </c>
      <c r="AJ22" s="202"/>
      <c r="AK22" s="63">
        <f t="shared" ref="AK22:AQ22" si="50">SUM(AK7:AK21)</f>
        <v>10992.827784814395</v>
      </c>
      <c r="AL22" s="63">
        <f t="shared" si="50"/>
        <v>12727.538424367893</v>
      </c>
      <c r="AM22" s="63">
        <f t="shared" si="50"/>
        <v>15953.377406972882</v>
      </c>
      <c r="AN22" s="63">
        <f t="shared" si="50"/>
        <v>28293.025474386654</v>
      </c>
      <c r="AO22" s="63">
        <f t="shared" si="50"/>
        <v>20251.988950298059</v>
      </c>
      <c r="AP22" s="63">
        <f t="shared" si="50"/>
        <v>60755.966850894198</v>
      </c>
      <c r="AQ22" s="63">
        <f t="shared" si="50"/>
        <v>81007.955801192235</v>
      </c>
    </row>
    <row r="23" spans="2:49" ht="18" customHeight="1">
      <c r="H23" s="64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40"/>
      <c r="AE23" s="40"/>
      <c r="AF23" s="40"/>
      <c r="AG23" s="40"/>
    </row>
    <row r="24" spans="2:49" ht="39.75" customHeight="1">
      <c r="B24" s="203" t="s">
        <v>30</v>
      </c>
      <c r="C24" s="66" t="s">
        <v>102</v>
      </c>
      <c r="D24" s="66" t="s">
        <v>103</v>
      </c>
      <c r="E24" s="66" t="s">
        <v>104</v>
      </c>
      <c r="R24" s="21"/>
      <c r="Z24" s="21"/>
      <c r="AA24" s="21"/>
      <c r="AB24" s="21"/>
      <c r="AC24" s="21"/>
    </row>
    <row r="25" spans="2:49" ht="18" customHeight="1">
      <c r="B25" s="203"/>
      <c r="C25" s="18">
        <f>'Comp. Oficial de Manutenção'!D11</f>
        <v>34.720594999999996</v>
      </c>
      <c r="D25" s="18">
        <v>27.69</v>
      </c>
      <c r="E25" s="18">
        <v>40.659999999999997</v>
      </c>
    </row>
    <row r="26" spans="2:49" ht="28.5" customHeight="1">
      <c r="B26" s="36" t="str">
        <f>'Equipe Técnica'!B9</f>
        <v>* SINAPI Maio/2025 (Desonerado)</v>
      </c>
    </row>
    <row r="27" spans="2:49" ht="23.25" customHeight="1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Z4:AC4"/>
    <mergeCell ref="AD4:AG4"/>
    <mergeCell ref="AI4:AI6"/>
    <mergeCell ref="AJ4:AN4"/>
    <mergeCell ref="AO4:AQ4"/>
    <mergeCell ref="AS4:AW4"/>
    <mergeCell ref="G5:G6"/>
    <mergeCell ref="N5:N6"/>
    <mergeCell ref="V5:V6"/>
    <mergeCell ref="W5:W6"/>
    <mergeCell ref="X5:X6"/>
    <mergeCell ref="Y5:Y6"/>
    <mergeCell ref="Z5:AB5"/>
    <mergeCell ref="AD5:AD6"/>
    <mergeCell ref="AE5:AE6"/>
    <mergeCell ref="AF5:AF6"/>
    <mergeCell ref="AG5:AG6"/>
    <mergeCell ref="AJ5:AJ6"/>
    <mergeCell ref="AK5:AK6"/>
    <mergeCell ref="AL5:AL6"/>
    <mergeCell ref="AM5:AM6"/>
    <mergeCell ref="AN5:AN6"/>
    <mergeCell ref="AO5:AO6"/>
    <mergeCell ref="AQ5:AQ6"/>
    <mergeCell ref="AS5:AS6"/>
    <mergeCell ref="AT10:AU10"/>
    <mergeCell ref="AP5:AP6"/>
    <mergeCell ref="AI22:AJ22"/>
    <mergeCell ref="B24:B25"/>
    <mergeCell ref="AT11:AU11"/>
    <mergeCell ref="AT12:AU12"/>
    <mergeCell ref="AT13:AU13"/>
    <mergeCell ref="AT14:AU14"/>
    <mergeCell ref="AT15:AU15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79998168889431442"/>
  </sheetPr>
  <dimension ref="B1:IZ39"/>
  <sheetViews>
    <sheetView showGridLines="0" zoomScale="110" zoomScaleNormal="110" workbookViewId="0">
      <selection activeCell="P23" sqref="P23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24" t="str">
        <f>"DESLOCAMENTO BASE "&amp;Resumo!B5</f>
        <v>DESLOCAMENTO BASE LONDRINA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197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105</v>
      </c>
      <c r="C4" s="15" t="str">
        <f>"Rota (saída e retorno "&amp;Resumo!B5&amp;")"</f>
        <v>Rota (saída e retorno LONDRINA)</v>
      </c>
      <c r="D4" s="15" t="s">
        <v>106</v>
      </c>
      <c r="E4" s="15" t="s">
        <v>107</v>
      </c>
      <c r="F4" s="15" t="s">
        <v>108</v>
      </c>
      <c r="G4" s="15" t="s">
        <v>109</v>
      </c>
      <c r="H4" s="15" t="s">
        <v>110</v>
      </c>
      <c r="I4" s="15" t="s">
        <v>111</v>
      </c>
      <c r="J4" s="15" t="s">
        <v>112</v>
      </c>
      <c r="K4" s="15" t="s">
        <v>113</v>
      </c>
      <c r="L4" s="15" t="s">
        <v>114</v>
      </c>
      <c r="M4" s="70" t="s">
        <v>115</v>
      </c>
      <c r="N4" s="15" t="s">
        <v>116</v>
      </c>
      <c r="O4" s="15" t="s">
        <v>117</v>
      </c>
      <c r="P4" s="15" t="s">
        <v>118</v>
      </c>
      <c r="Q4" s="15" t="s">
        <v>67</v>
      </c>
      <c r="R4" s="15" t="s">
        <v>119</v>
      </c>
      <c r="S4" s="15" t="s">
        <v>120</v>
      </c>
    </row>
    <row r="5" spans="2:19" ht="15.75" customHeight="1">
      <c r="B5" s="71">
        <v>1</v>
      </c>
      <c r="C5" s="56" t="s">
        <v>99</v>
      </c>
      <c r="D5" s="72">
        <v>0</v>
      </c>
      <c r="E5" s="72">
        <v>0</v>
      </c>
      <c r="F5" s="72">
        <v>0</v>
      </c>
      <c r="G5" s="177">
        <f>SUM(D5:F5)</f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78">
        <v>0</v>
      </c>
      <c r="R5" s="168" t="str">
        <f>INDEX('Base Londrina'!K$7:K$21,MATCH('Desl. Base Londrina'!C5,'Base Londrina'!B$7:B$21,0))</f>
        <v>SIM</v>
      </c>
      <c r="S5" s="179">
        <v>1</v>
      </c>
    </row>
    <row r="6" spans="2:19" ht="15.75" customHeight="1">
      <c r="B6" s="71">
        <v>2</v>
      </c>
      <c r="C6" s="56" t="s">
        <v>81</v>
      </c>
      <c r="D6" s="72">
        <v>2.1</v>
      </c>
      <c r="E6" s="72">
        <v>1.3</v>
      </c>
      <c r="F6" s="72">
        <v>0</v>
      </c>
      <c r="G6" s="177">
        <f>SUM(D6:F6)</f>
        <v>3.4000000000000004</v>
      </c>
      <c r="H6" s="167">
        <v>6</v>
      </c>
      <c r="I6" s="167">
        <v>5</v>
      </c>
      <c r="J6" s="167">
        <v>0</v>
      </c>
      <c r="K6" s="74">
        <f>SUM(H6:J6)</f>
        <v>11</v>
      </c>
      <c r="L6" s="77">
        <f>K6/60</f>
        <v>0.18333333333333332</v>
      </c>
      <c r="M6" s="76">
        <v>0</v>
      </c>
      <c r="N6" s="74">
        <v>1</v>
      </c>
      <c r="O6" s="77">
        <f>L6/N6</f>
        <v>0.18333333333333332</v>
      </c>
      <c r="P6" s="178">
        <v>0</v>
      </c>
      <c r="Q6" s="178">
        <v>0</v>
      </c>
      <c r="R6" s="168" t="str">
        <f>INDEX('Base Londrina'!K$7:K$21,MATCH('Desl. Base Londrina'!C6,'Base Londrina'!B$7:B$21,0))</f>
        <v>NÃO</v>
      </c>
      <c r="S6" s="179">
        <v>0</v>
      </c>
    </row>
    <row r="7" spans="2:19" ht="15.75" customHeight="1">
      <c r="B7" s="215">
        <v>3</v>
      </c>
      <c r="C7" s="181" t="s">
        <v>95</v>
      </c>
      <c r="D7" s="216">
        <v>1.6</v>
      </c>
      <c r="E7" s="216">
        <f>4.4-D7</f>
        <v>2.8000000000000003</v>
      </c>
      <c r="F7" s="216">
        <v>3.9</v>
      </c>
      <c r="G7" s="213">
        <f>SUM(D7:F8)</f>
        <v>8.3000000000000007</v>
      </c>
      <c r="H7" s="214">
        <v>6</v>
      </c>
      <c r="I7" s="214">
        <v>8</v>
      </c>
      <c r="J7" s="214">
        <v>11</v>
      </c>
      <c r="K7" s="212">
        <f>SUM(H7:J8)</f>
        <v>25</v>
      </c>
      <c r="L7" s="211">
        <f>K7/60</f>
        <v>0.41666666666666669</v>
      </c>
      <c r="M7" s="76">
        <v>0</v>
      </c>
      <c r="N7" s="212">
        <v>2</v>
      </c>
      <c r="O7" s="75">
        <f>L7/N7</f>
        <v>0.20833333333333334</v>
      </c>
      <c r="P7" s="76">
        <v>0</v>
      </c>
      <c r="Q7" s="76">
        <v>0</v>
      </c>
      <c r="R7" s="168" t="str">
        <f>INDEX('Base Londrina'!K$7:K$21,MATCH('Desl. Base Londrina'!C7,'Base Londrina'!B$7:B$21,0))</f>
        <v>NÃO</v>
      </c>
      <c r="S7" s="179">
        <v>1</v>
      </c>
    </row>
    <row r="8" spans="2:19" ht="15.75" customHeight="1">
      <c r="B8" s="215"/>
      <c r="C8" s="181" t="s">
        <v>96</v>
      </c>
      <c r="D8" s="216"/>
      <c r="E8" s="216"/>
      <c r="F8" s="216"/>
      <c r="G8" s="213"/>
      <c r="H8" s="214"/>
      <c r="I8" s="214"/>
      <c r="J8" s="214"/>
      <c r="K8" s="212"/>
      <c r="L8" s="211"/>
      <c r="M8" s="76">
        <v>0</v>
      </c>
      <c r="N8" s="212"/>
      <c r="O8" s="75">
        <f>O7</f>
        <v>0.20833333333333334</v>
      </c>
      <c r="P8" s="182">
        <v>0</v>
      </c>
      <c r="Q8" s="76">
        <v>0</v>
      </c>
      <c r="R8" s="168" t="str">
        <f>INDEX('Base Londrina'!K$7:K$21,MATCH('Desl. Base Londrina'!C8,'Base Londrina'!B$7:B$21,0))</f>
        <v>SIM</v>
      </c>
      <c r="S8" s="179">
        <v>1</v>
      </c>
    </row>
    <row r="9" spans="2:19" ht="15.75" customHeight="1">
      <c r="B9" s="215">
        <v>4</v>
      </c>
      <c r="C9" s="181" t="s">
        <v>90</v>
      </c>
      <c r="D9" s="216">
        <v>21.2</v>
      </c>
      <c r="E9" s="216">
        <v>11.2</v>
      </c>
      <c r="F9" s="216">
        <v>29</v>
      </c>
      <c r="G9" s="213">
        <f>SUM(D9:F10)</f>
        <v>61.4</v>
      </c>
      <c r="H9" s="214">
        <v>25</v>
      </c>
      <c r="I9" s="214">
        <v>17</v>
      </c>
      <c r="J9" s="214">
        <v>32</v>
      </c>
      <c r="K9" s="212">
        <f>SUM(H9:J10)</f>
        <v>74</v>
      </c>
      <c r="L9" s="211">
        <f>K9/60</f>
        <v>1.2333333333333334</v>
      </c>
      <c r="M9" s="76">
        <v>0</v>
      </c>
      <c r="N9" s="212">
        <v>2</v>
      </c>
      <c r="O9" s="75">
        <f>L9/N9</f>
        <v>0.6166666666666667</v>
      </c>
      <c r="P9" s="76">
        <v>0</v>
      </c>
      <c r="Q9" s="76">
        <v>0</v>
      </c>
      <c r="R9" s="168" t="str">
        <f>INDEX('Base Londrina'!K$7:K$21,MATCH('Desl. Base Londrina'!C9,'Base Londrina'!B$7:B$21,0))</f>
        <v>NÃO</v>
      </c>
      <c r="S9" s="179">
        <v>1</v>
      </c>
    </row>
    <row r="10" spans="2:19" ht="15.75" customHeight="1">
      <c r="B10" s="215"/>
      <c r="C10" s="181" t="s">
        <v>97</v>
      </c>
      <c r="D10" s="216"/>
      <c r="E10" s="216"/>
      <c r="F10" s="216"/>
      <c r="G10" s="213"/>
      <c r="H10" s="214"/>
      <c r="I10" s="214"/>
      <c r="J10" s="214"/>
      <c r="K10" s="212"/>
      <c r="L10" s="211"/>
      <c r="M10" s="76">
        <v>0</v>
      </c>
      <c r="N10" s="212"/>
      <c r="O10" s="75">
        <f>O9</f>
        <v>0.6166666666666667</v>
      </c>
      <c r="P10" s="182">
        <v>0</v>
      </c>
      <c r="Q10" s="76">
        <v>0</v>
      </c>
      <c r="R10" s="168" t="str">
        <f>INDEX('Base Londrina'!K$7:K$21,MATCH('Desl. Base Londrina'!C10,'Base Londrina'!B$7:B$21,0))</f>
        <v>SIM</v>
      </c>
      <c r="S10" s="179">
        <v>1</v>
      </c>
    </row>
    <row r="11" spans="2:19" ht="15.75" customHeight="1">
      <c r="B11" s="215">
        <v>5</v>
      </c>
      <c r="C11" s="181" t="s">
        <v>85</v>
      </c>
      <c r="D11" s="216">
        <v>59.7</v>
      </c>
      <c r="E11" s="216">
        <f>78.5-D11</f>
        <v>18.799999999999997</v>
      </c>
      <c r="F11" s="216">
        <v>42.8</v>
      </c>
      <c r="G11" s="213">
        <f>SUM(D11:F12)</f>
        <v>121.3</v>
      </c>
      <c r="H11" s="214">
        <v>65</v>
      </c>
      <c r="I11" s="214">
        <f>88-H11</f>
        <v>23</v>
      </c>
      <c r="J11" s="214">
        <v>44</v>
      </c>
      <c r="K11" s="212">
        <f>SUM(H11:J12)</f>
        <v>132</v>
      </c>
      <c r="L11" s="211">
        <f>K11/60</f>
        <v>2.2000000000000002</v>
      </c>
      <c r="M11" s="76">
        <v>0</v>
      </c>
      <c r="N11" s="212">
        <v>2</v>
      </c>
      <c r="O11" s="75">
        <f>L11/N11</f>
        <v>1.1000000000000001</v>
      </c>
      <c r="P11" s="76">
        <v>0</v>
      </c>
      <c r="Q11" s="76">
        <v>0</v>
      </c>
      <c r="R11" s="168" t="str">
        <f>INDEX('Base Londrina'!K$7:K$21,MATCH('Desl. Base Londrina'!C11,'Base Londrina'!B$7:B$21,0))</f>
        <v>SIM</v>
      </c>
      <c r="S11" s="179">
        <v>1</v>
      </c>
    </row>
    <row r="12" spans="2:19" ht="15.75" customHeight="1">
      <c r="B12" s="215"/>
      <c r="C12" s="181" t="s">
        <v>86</v>
      </c>
      <c r="D12" s="216"/>
      <c r="E12" s="216"/>
      <c r="F12" s="216"/>
      <c r="G12" s="213"/>
      <c r="H12" s="214"/>
      <c r="I12" s="214"/>
      <c r="J12" s="214"/>
      <c r="K12" s="212"/>
      <c r="L12" s="211"/>
      <c r="M12" s="76">
        <v>0</v>
      </c>
      <c r="N12" s="212"/>
      <c r="O12" s="75">
        <f>O11</f>
        <v>1.1000000000000001</v>
      </c>
      <c r="P12" s="182">
        <v>0</v>
      </c>
      <c r="Q12" s="76">
        <v>0</v>
      </c>
      <c r="R12" s="168" t="str">
        <f>INDEX('Base Londrina'!K$7:K$21,MATCH('Desl. Base Londrina'!C12,'Base Londrina'!B$7:B$21,0))</f>
        <v>NÃO</v>
      </c>
      <c r="S12" s="179">
        <v>1</v>
      </c>
    </row>
    <row r="13" spans="2:19" ht="15.75" customHeight="1">
      <c r="B13" s="215">
        <v>6</v>
      </c>
      <c r="C13" s="181" t="s">
        <v>92</v>
      </c>
      <c r="D13" s="216">
        <v>72</v>
      </c>
      <c r="E13" s="216">
        <v>36</v>
      </c>
      <c r="F13" s="216">
        <v>106</v>
      </c>
      <c r="G13" s="213">
        <f>SUM(D13:F14)</f>
        <v>214</v>
      </c>
      <c r="H13" s="214">
        <v>60</v>
      </c>
      <c r="I13" s="214">
        <v>38</v>
      </c>
      <c r="J13" s="214">
        <v>93</v>
      </c>
      <c r="K13" s="212">
        <f>SUM(H13:J14)</f>
        <v>191</v>
      </c>
      <c r="L13" s="211">
        <f>K13/60</f>
        <v>3.1833333333333331</v>
      </c>
      <c r="M13" s="76">
        <v>0</v>
      </c>
      <c r="N13" s="212">
        <v>2</v>
      </c>
      <c r="O13" s="75">
        <f>L13/N13</f>
        <v>1.5916666666666666</v>
      </c>
      <c r="P13" s="76">
        <v>0</v>
      </c>
      <c r="Q13" s="76">
        <v>0</v>
      </c>
      <c r="R13" s="168" t="str">
        <f>INDEX('Base Londrina'!K$7:K$21,MATCH('Desl. Base Londrina'!C13,'Base Londrina'!B$7:B$21,0))</f>
        <v>SIM</v>
      </c>
      <c r="S13" s="179">
        <v>1</v>
      </c>
    </row>
    <row r="14" spans="2:19" ht="15.75" customHeight="1">
      <c r="B14" s="215"/>
      <c r="C14" s="181" t="s">
        <v>87</v>
      </c>
      <c r="D14" s="216"/>
      <c r="E14" s="216"/>
      <c r="F14" s="216"/>
      <c r="G14" s="213"/>
      <c r="H14" s="214"/>
      <c r="I14" s="214"/>
      <c r="J14" s="214"/>
      <c r="K14" s="212"/>
      <c r="L14" s="211"/>
      <c r="M14" s="76">
        <v>0</v>
      </c>
      <c r="N14" s="212"/>
      <c r="O14" s="75">
        <f>O13</f>
        <v>1.5916666666666666</v>
      </c>
      <c r="P14" s="182">
        <v>0</v>
      </c>
      <c r="Q14" s="76">
        <v>0</v>
      </c>
      <c r="R14" s="168" t="str">
        <f>INDEX('Base Londrina'!K$7:K$21,MATCH('Desl. Base Londrina'!C14,'Base Londrina'!B$7:B$21,0))</f>
        <v>SIM</v>
      </c>
      <c r="S14" s="179">
        <v>1</v>
      </c>
    </row>
    <row r="15" spans="2:19" ht="15.75" customHeight="1">
      <c r="B15" s="215">
        <v>7</v>
      </c>
      <c r="C15" s="181" t="s">
        <v>83</v>
      </c>
      <c r="D15" s="216">
        <v>122</v>
      </c>
      <c r="E15" s="216">
        <v>18</v>
      </c>
      <c r="F15" s="216">
        <v>137</v>
      </c>
      <c r="G15" s="213">
        <f>SUM(D15:F16)</f>
        <v>277</v>
      </c>
      <c r="H15" s="214">
        <v>100</v>
      </c>
      <c r="I15" s="214">
        <v>19</v>
      </c>
      <c r="J15" s="214">
        <v>113</v>
      </c>
      <c r="K15" s="212">
        <f>SUM(H15:J16)</f>
        <v>232</v>
      </c>
      <c r="L15" s="211">
        <f>K15/60</f>
        <v>3.8666666666666667</v>
      </c>
      <c r="M15" s="76">
        <v>0</v>
      </c>
      <c r="N15" s="212">
        <v>2</v>
      </c>
      <c r="O15" s="75">
        <f>L15/N15</f>
        <v>1.9333333333333333</v>
      </c>
      <c r="P15" s="76">
        <v>0</v>
      </c>
      <c r="Q15" s="76">
        <v>0</v>
      </c>
      <c r="R15" s="168" t="str">
        <f>INDEX('Base Londrina'!K$7:K$21,MATCH('Desl. Base Londrina'!C15,'Base Londrina'!B$7:B$21,0))</f>
        <v>NÃO</v>
      </c>
      <c r="S15" s="179">
        <v>0</v>
      </c>
    </row>
    <row r="16" spans="2:19" ht="15.75" customHeight="1">
      <c r="B16" s="215"/>
      <c r="C16" s="181" t="s">
        <v>89</v>
      </c>
      <c r="D16" s="216"/>
      <c r="E16" s="216"/>
      <c r="F16" s="216"/>
      <c r="G16" s="213"/>
      <c r="H16" s="214"/>
      <c r="I16" s="214"/>
      <c r="J16" s="214"/>
      <c r="K16" s="212"/>
      <c r="L16" s="211"/>
      <c r="M16" s="76">
        <v>0</v>
      </c>
      <c r="N16" s="212"/>
      <c r="O16" s="75">
        <f>O15</f>
        <v>1.9333333333333333</v>
      </c>
      <c r="P16" s="182">
        <v>0</v>
      </c>
      <c r="Q16" s="76">
        <v>0</v>
      </c>
      <c r="R16" s="168" t="str">
        <f>INDEX('Base Londrina'!K$7:K$21,MATCH('Desl. Base Londrina'!C16,'Base Londrina'!B$7:B$21,0))</f>
        <v>NÃO</v>
      </c>
      <c r="S16" s="179">
        <v>0</v>
      </c>
    </row>
    <row r="17" spans="2:19" ht="15.75" customHeight="1">
      <c r="B17" s="215">
        <v>8</v>
      </c>
      <c r="C17" s="181" t="s">
        <v>93</v>
      </c>
      <c r="D17" s="216">
        <v>157</v>
      </c>
      <c r="E17" s="216">
        <v>24</v>
      </c>
      <c r="F17" s="216">
        <v>158</v>
      </c>
      <c r="G17" s="213">
        <f>SUM(D17:F18)</f>
        <v>339</v>
      </c>
      <c r="H17" s="214">
        <v>133</v>
      </c>
      <c r="I17" s="214">
        <f>166-H17</f>
        <v>33</v>
      </c>
      <c r="J17" s="214">
        <v>131</v>
      </c>
      <c r="K17" s="212">
        <f>SUM(H17:J18)</f>
        <v>297</v>
      </c>
      <c r="L17" s="211">
        <f>K17/60</f>
        <v>4.95</v>
      </c>
      <c r="M17" s="76">
        <v>0</v>
      </c>
      <c r="N17" s="212">
        <v>2</v>
      </c>
      <c r="O17" s="75">
        <f>L17/N17</f>
        <v>2.4750000000000001</v>
      </c>
      <c r="P17" s="76">
        <v>0</v>
      </c>
      <c r="Q17" s="76">
        <v>0</v>
      </c>
      <c r="R17" s="168" t="str">
        <f>INDEX('Base Londrina'!K$7:K$21,MATCH('Desl. Base Londrina'!C17,'Base Londrina'!B$7:B$21,0))</f>
        <v>SIM</v>
      </c>
      <c r="S17" s="179">
        <v>1</v>
      </c>
    </row>
    <row r="18" spans="2:19" ht="15.75" customHeight="1">
      <c r="B18" s="215"/>
      <c r="C18" s="181" t="s">
        <v>98</v>
      </c>
      <c r="D18" s="216"/>
      <c r="E18" s="216"/>
      <c r="F18" s="216"/>
      <c r="G18" s="213"/>
      <c r="H18" s="214"/>
      <c r="I18" s="214"/>
      <c r="J18" s="214"/>
      <c r="K18" s="212"/>
      <c r="L18" s="211"/>
      <c r="M18" s="76">
        <v>0</v>
      </c>
      <c r="N18" s="212"/>
      <c r="O18" s="75">
        <f>O17</f>
        <v>2.4750000000000001</v>
      </c>
      <c r="P18" s="182">
        <v>0</v>
      </c>
      <c r="Q18" s="76">
        <v>0</v>
      </c>
      <c r="R18" s="168" t="str">
        <f>INDEX('Base Londrina'!K$7:K$21,MATCH('Desl. Base Londrina'!C18,'Base Londrina'!B$7:B$21,0))</f>
        <v>NÃO</v>
      </c>
      <c r="S18" s="179">
        <v>1</v>
      </c>
    </row>
    <row r="19" spans="2:19" ht="15.75" customHeight="1">
      <c r="B19" s="71">
        <v>9</v>
      </c>
      <c r="C19" s="181" t="s">
        <v>100</v>
      </c>
      <c r="D19" s="72">
        <v>161</v>
      </c>
      <c r="E19" s="72">
        <v>160</v>
      </c>
      <c r="F19" s="72">
        <v>0</v>
      </c>
      <c r="G19" s="73">
        <f>SUM(D19:F19)</f>
        <v>321</v>
      </c>
      <c r="H19" s="167">
        <v>141</v>
      </c>
      <c r="I19" s="167">
        <v>137</v>
      </c>
      <c r="J19" s="167">
        <v>0</v>
      </c>
      <c r="K19" s="74">
        <f>SUM(H19:J19)</f>
        <v>278</v>
      </c>
      <c r="L19" s="75">
        <f>K19/60</f>
        <v>4.6333333333333337</v>
      </c>
      <c r="M19" s="76">
        <v>0</v>
      </c>
      <c r="N19" s="74">
        <v>1</v>
      </c>
      <c r="O19" s="75">
        <f>L19/N19</f>
        <v>4.6333333333333337</v>
      </c>
      <c r="P19" s="76">
        <v>0</v>
      </c>
      <c r="Q19" s="76">
        <v>0</v>
      </c>
      <c r="R19" s="168" t="str">
        <f>INDEX('Base Londrina'!K$7:K$21,MATCH('Desl. Base Londrina'!C19,'Base Londrina'!B$7:B$21,0))</f>
        <v>NÃO</v>
      </c>
      <c r="S19" s="179">
        <v>0</v>
      </c>
    </row>
    <row r="20" spans="2:19" ht="19.5" customHeight="1">
      <c r="B20" s="219" t="s">
        <v>101</v>
      </c>
      <c r="C20" s="219"/>
      <c r="D20" s="219"/>
      <c r="E20" s="219"/>
      <c r="F20" s="219"/>
      <c r="G20" s="78">
        <f>SUM(G5:G19)</f>
        <v>1345.4</v>
      </c>
      <c r="H20" s="220" t="s">
        <v>101</v>
      </c>
      <c r="I20" s="220"/>
      <c r="J20" s="220"/>
      <c r="K20" s="79">
        <f t="shared" ref="K20:Q20" si="0">SUM(K5:K19)</f>
        <v>1240</v>
      </c>
      <c r="L20" s="80">
        <f t="shared" si="0"/>
        <v>20.666666666666668</v>
      </c>
      <c r="M20" s="81">
        <f t="shared" si="0"/>
        <v>0</v>
      </c>
      <c r="N20" s="82">
        <f t="shared" si="0"/>
        <v>15</v>
      </c>
      <c r="O20" s="175">
        <f t="shared" si="0"/>
        <v>20.666666666666668</v>
      </c>
      <c r="P20" s="81">
        <f t="shared" si="0"/>
        <v>0</v>
      </c>
      <c r="Q20" s="81">
        <f t="shared" si="0"/>
        <v>0</v>
      </c>
      <c r="R20" s="81"/>
      <c r="S20" s="81"/>
    </row>
    <row r="21" spans="2:19" ht="16.5" customHeight="1">
      <c r="B21" s="83"/>
      <c r="C21" s="83"/>
      <c r="D21" s="83"/>
      <c r="E21" s="83"/>
      <c r="F21" s="83"/>
    </row>
    <row r="22" spans="2:19" ht="18.75" customHeight="1">
      <c r="B22" s="221" t="s">
        <v>121</v>
      </c>
      <c r="C22" s="221"/>
      <c r="D22" s="221"/>
      <c r="E22" s="221"/>
      <c r="F22" s="83"/>
      <c r="G22" s="83"/>
      <c r="H22" s="83"/>
      <c r="I22" s="83"/>
      <c r="J22" s="83"/>
      <c r="K22" s="83"/>
      <c r="L22" s="83"/>
      <c r="M22" s="83"/>
      <c r="N22" s="84"/>
      <c r="O22" s="84"/>
    </row>
    <row r="23" spans="2:19" ht="18.75" customHeight="1">
      <c r="B23" s="85" t="s">
        <v>122</v>
      </c>
      <c r="C23" s="85" t="s">
        <v>123</v>
      </c>
      <c r="D23" s="85" t="s">
        <v>124</v>
      </c>
      <c r="E23" s="85" t="s">
        <v>125</v>
      </c>
      <c r="F23" s="83"/>
      <c r="G23" s="83"/>
      <c r="H23" s="84"/>
      <c r="I23" s="84"/>
      <c r="J23" s="83"/>
      <c r="K23" s="83"/>
      <c r="L23" s="83"/>
      <c r="M23" s="83"/>
      <c r="N23" s="84"/>
      <c r="O23" s="84"/>
    </row>
    <row r="24" spans="2:19" ht="18.75" customHeight="1">
      <c r="B24" s="35" t="s">
        <v>126</v>
      </c>
      <c r="C24" s="86" t="s">
        <v>127</v>
      </c>
      <c r="D24" s="35" t="s">
        <v>128</v>
      </c>
      <c r="E24" s="87">
        <f>'Comp. Veículo'!D11</f>
        <v>56.78</v>
      </c>
      <c r="F24" s="83"/>
      <c r="G24" s="83"/>
      <c r="H24" s="88"/>
      <c r="I24" s="88"/>
      <c r="J24" s="83"/>
      <c r="K24" s="83"/>
      <c r="L24" s="83"/>
      <c r="M24" s="83"/>
      <c r="N24" s="84"/>
      <c r="O24" s="84"/>
    </row>
    <row r="25" spans="2:19" ht="18.75" customHeight="1">
      <c r="B25" s="89" t="s">
        <v>129</v>
      </c>
      <c r="C25" s="90" t="s">
        <v>127</v>
      </c>
      <c r="D25" s="89" t="s">
        <v>130</v>
      </c>
      <c r="E25" s="91">
        <f>'Comp. Veículo'!D27</f>
        <v>6.78</v>
      </c>
      <c r="F25" s="83"/>
      <c r="G25" s="83"/>
      <c r="H25" s="88"/>
      <c r="I25" s="88"/>
      <c r="J25" s="83"/>
      <c r="K25" s="83"/>
      <c r="L25" s="83"/>
      <c r="M25" s="83"/>
      <c r="N25" s="84"/>
      <c r="O25" s="84"/>
    </row>
    <row r="26" spans="2:19" ht="47.25" customHeight="1">
      <c r="B26" s="222" t="s">
        <v>131</v>
      </c>
      <c r="C26" s="222"/>
      <c r="D26" s="222"/>
      <c r="E26" s="222"/>
      <c r="F26" s="92"/>
      <c r="G26" s="92"/>
      <c r="H26" s="92"/>
      <c r="I26" s="92"/>
      <c r="J26" s="92"/>
      <c r="K26" s="92"/>
      <c r="L26" s="92"/>
      <c r="M26" s="83"/>
      <c r="N26" s="84"/>
      <c r="O26" s="84"/>
    </row>
    <row r="27" spans="2:19" ht="16.5" customHeight="1">
      <c r="B27" s="93"/>
      <c r="C27" s="93"/>
      <c r="D27" s="93"/>
      <c r="E27" s="93"/>
      <c r="F27" s="92"/>
      <c r="G27" s="92"/>
      <c r="H27" s="92"/>
      <c r="I27" s="92"/>
      <c r="J27" s="92"/>
      <c r="K27" s="92"/>
      <c r="L27" s="92"/>
      <c r="M27" s="83"/>
      <c r="N27" s="84"/>
      <c r="O27" s="84"/>
    </row>
    <row r="28" spans="2:19" ht="16.5" customHeight="1">
      <c r="B28" s="221" t="s">
        <v>132</v>
      </c>
      <c r="C28" s="221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/>
      <c r="O28" s="84"/>
    </row>
    <row r="29" spans="2:19" ht="16.5" customHeight="1">
      <c r="B29" s="35" t="s">
        <v>128</v>
      </c>
      <c r="C29" s="87">
        <f>E24*L20</f>
        <v>1173.4533333333334</v>
      </c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/>
      <c r="O29" s="84"/>
    </row>
    <row r="30" spans="2:19" ht="16.5" customHeight="1">
      <c r="B30" s="35" t="s">
        <v>130</v>
      </c>
      <c r="C30" s="87">
        <f>E25*('Base Londrina'!N22/12)</f>
        <v>325.75074999999998</v>
      </c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9" ht="16.5" customHeight="1">
      <c r="B31" s="94" t="s">
        <v>28</v>
      </c>
      <c r="C31" s="95">
        <f>C29+C30</f>
        <v>1499.2040833333333</v>
      </c>
      <c r="D31" s="83"/>
      <c r="E31" s="83"/>
      <c r="F31" s="83"/>
      <c r="G31" s="83"/>
      <c r="H31" s="83"/>
      <c r="I31" s="83"/>
      <c r="M31" s="83"/>
      <c r="N31" s="84"/>
      <c r="O31" s="84"/>
    </row>
    <row r="32" spans="2:19" ht="16.5" customHeight="1">
      <c r="B32" s="83"/>
      <c r="C32" s="96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/>
      <c r="O32" s="84"/>
    </row>
    <row r="33" spans="2:15" ht="16.5" customHeight="1">
      <c r="B33" s="223" t="s">
        <v>133</v>
      </c>
      <c r="C33" s="223"/>
      <c r="D33" s="83"/>
      <c r="J33" s="83"/>
      <c r="K33" s="83"/>
      <c r="L33" s="83"/>
      <c r="M33" s="83"/>
      <c r="N33" s="84"/>
      <c r="O33" s="84"/>
    </row>
    <row r="34" spans="2:15" ht="16.5" customHeight="1">
      <c r="B34" s="97" t="s">
        <v>125</v>
      </c>
      <c r="C34" s="98">
        <f>SUM(M5:M19)</f>
        <v>0</v>
      </c>
      <c r="J34" s="83"/>
      <c r="K34" s="83"/>
      <c r="L34" s="83"/>
      <c r="M34" s="83"/>
      <c r="N34" s="84"/>
      <c r="O34" s="84"/>
    </row>
    <row r="35" spans="2:15" ht="16.5" customHeight="1">
      <c r="B35" s="83"/>
      <c r="C35" s="99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/>
      <c r="O35" s="84"/>
    </row>
    <row r="36" spans="2:15">
      <c r="B36" s="217" t="s">
        <v>67</v>
      </c>
      <c r="C36" s="217"/>
      <c r="D36" s="217"/>
      <c r="E36" s="217"/>
    </row>
    <row r="37" spans="2:15">
      <c r="B37" s="100" t="s">
        <v>134</v>
      </c>
      <c r="C37" s="100" t="s">
        <v>123</v>
      </c>
      <c r="D37" s="100" t="s">
        <v>124</v>
      </c>
      <c r="E37" s="100" t="s">
        <v>125</v>
      </c>
    </row>
    <row r="38" spans="2:15" ht="25.5">
      <c r="B38" s="89" t="s">
        <v>135</v>
      </c>
      <c r="C38" s="101" t="s">
        <v>136</v>
      </c>
      <c r="D38" s="89" t="s">
        <v>137</v>
      </c>
      <c r="E38" s="91">
        <v>139.4</v>
      </c>
    </row>
    <row r="39" spans="2:15">
      <c r="B39" s="218" t="s">
        <v>138</v>
      </c>
      <c r="C39" s="218"/>
      <c r="D39" s="218"/>
      <c r="E39" s="218"/>
    </row>
  </sheetData>
  <mergeCells count="75">
    <mergeCell ref="L11:L12"/>
    <mergeCell ref="N11:N12"/>
    <mergeCell ref="K9:K10"/>
    <mergeCell ref="L9:L10"/>
    <mergeCell ref="N9:N10"/>
    <mergeCell ref="G11:G12"/>
    <mergeCell ref="H11:H12"/>
    <mergeCell ref="I11:I12"/>
    <mergeCell ref="J11:J12"/>
    <mergeCell ref="K7:K8"/>
    <mergeCell ref="G7:G8"/>
    <mergeCell ref="H7:H8"/>
    <mergeCell ref="I7:I8"/>
    <mergeCell ref="K11:K12"/>
    <mergeCell ref="B2:S2"/>
    <mergeCell ref="B7:B8"/>
    <mergeCell ref="B9:B10"/>
    <mergeCell ref="D9:D10"/>
    <mergeCell ref="E9:E10"/>
    <mergeCell ref="F9:F10"/>
    <mergeCell ref="G9:G10"/>
    <mergeCell ref="H9:H10"/>
    <mergeCell ref="I9:I10"/>
    <mergeCell ref="J9:J10"/>
    <mergeCell ref="D7:D8"/>
    <mergeCell ref="E7:E8"/>
    <mergeCell ref="N7:N8"/>
    <mergeCell ref="J7:J8"/>
    <mergeCell ref="L7:L8"/>
    <mergeCell ref="F7:F8"/>
    <mergeCell ref="F13:F14"/>
    <mergeCell ref="B11:B12"/>
    <mergeCell ref="D11:D12"/>
    <mergeCell ref="E11:E12"/>
    <mergeCell ref="F11:F12"/>
    <mergeCell ref="L13:L14"/>
    <mergeCell ref="N13:N14"/>
    <mergeCell ref="B15:B16"/>
    <mergeCell ref="D15:D16"/>
    <mergeCell ref="E15:E16"/>
    <mergeCell ref="F15:F16"/>
    <mergeCell ref="G15:G16"/>
    <mergeCell ref="H15:H16"/>
    <mergeCell ref="I15:I16"/>
    <mergeCell ref="J15:J16"/>
    <mergeCell ref="K15:K16"/>
    <mergeCell ref="L15:L16"/>
    <mergeCell ref="N15:N16"/>
    <mergeCell ref="B13:B14"/>
    <mergeCell ref="D13:D14"/>
    <mergeCell ref="E13:E14"/>
    <mergeCell ref="G13:G14"/>
    <mergeCell ref="H13:H14"/>
    <mergeCell ref="I13:I14"/>
    <mergeCell ref="J13:J14"/>
    <mergeCell ref="K13:K14"/>
    <mergeCell ref="B39:E39"/>
    <mergeCell ref="B20:F20"/>
    <mergeCell ref="H20:J20"/>
    <mergeCell ref="B22:E22"/>
    <mergeCell ref="B26:E26"/>
    <mergeCell ref="B28:C28"/>
    <mergeCell ref="B33:C33"/>
    <mergeCell ref="B17:B18"/>
    <mergeCell ref="D17:D18"/>
    <mergeCell ref="E17:E18"/>
    <mergeCell ref="F17:F18"/>
    <mergeCell ref="B36:E36"/>
    <mergeCell ref="L17:L18"/>
    <mergeCell ref="N17:N18"/>
    <mergeCell ref="G17:G18"/>
    <mergeCell ref="H17:H18"/>
    <mergeCell ref="I17:I18"/>
    <mergeCell ref="J17:J18"/>
    <mergeCell ref="K17:K18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F538B-A2CE-4D06-8CAF-441197C4AC55}">
  <sheetPr>
    <tabColor theme="9" tint="0.79998168889431442"/>
  </sheetPr>
  <dimension ref="B1:IV22"/>
  <sheetViews>
    <sheetView showGridLines="0" zoomScale="110" zoomScaleNormal="110" workbookViewId="0">
      <selection activeCell="G19" sqref="G19"/>
    </sheetView>
  </sheetViews>
  <sheetFormatPr defaultColWidth="10.5" defaultRowHeight="14.25"/>
  <cols>
    <col min="1" max="1" width="5.625" customWidth="1"/>
    <col min="2" max="2" width="33.625" style="11" customWidth="1"/>
    <col min="3" max="15" width="12.625" style="11" customWidth="1"/>
    <col min="16" max="16" width="8.375" style="11" customWidth="1"/>
    <col min="17" max="17" width="33" style="11" customWidth="1"/>
    <col min="18" max="33" width="11.5" style="11" customWidth="1"/>
    <col min="34" max="34" width="11" style="11" customWidth="1"/>
    <col min="35" max="35" width="33" style="11" customWidth="1"/>
    <col min="36" max="36" width="10.625" style="11" customWidth="1"/>
    <col min="37" max="40" width="11.75" style="11" customWidth="1"/>
    <col min="41" max="41" width="11.375" style="11" customWidth="1"/>
    <col min="42" max="43" width="12.875" style="11" customWidth="1"/>
    <col min="44" max="44" width="3.375" style="11" customWidth="1"/>
    <col min="45" max="45" width="28.125" style="11" customWidth="1"/>
    <col min="46" max="46" width="12.75" style="11" customWidth="1"/>
    <col min="47" max="49" width="11.75" style="11" customWidth="1"/>
    <col min="50" max="256" width="10.625" style="11" customWidth="1"/>
    <col min="1013" max="1024" width="8.5" customWidth="1"/>
  </cols>
  <sheetData>
    <row r="1" spans="2:49" ht="15" customHeight="1"/>
    <row r="2" spans="2:49" s="38" customFormat="1" ht="24.75" customHeight="1">
      <c r="B2" s="208" t="str">
        <f>"BASE "&amp;Resumo!B6&amp;" - PLANILHA DE FORMAÇÃO DE PREÇOS"</f>
        <v>BASE GUARAPUAVA - PLANILHA DE FORMAÇÃO DE PREÇOS</v>
      </c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39"/>
      <c r="Q2" s="200" t="str">
        <f>"BASE "&amp;Resumo!B6&amp;" – PLANILHA DE DISTRIBUIÇÃO DE CUSTOS POR UNIDADE"</f>
        <v>BASE GUARAPUAVA – PLANILHA DE DISTRIBUIÇÃO DE CUSTOS POR UNIDADE</v>
      </c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  <c r="AG2" s="200"/>
      <c r="AH2" s="40"/>
      <c r="AI2" s="209" t="str">
        <f>"BASE "&amp;Resumo!B6&amp;" – PLANILHA RESUMO DE CUSTOS DA BASE"</f>
        <v>BASE GUARAPUAVA – PLANILHA RESUMO DE CUSTOS DA BASE</v>
      </c>
      <c r="AJ2" s="209"/>
      <c r="AK2" s="209"/>
      <c r="AL2" s="209"/>
      <c r="AM2" s="209"/>
      <c r="AN2" s="209"/>
      <c r="AO2" s="209"/>
      <c r="AP2" s="209"/>
      <c r="AQ2" s="209"/>
      <c r="AR2" s="209"/>
      <c r="AS2" s="209"/>
      <c r="AT2" s="209"/>
      <c r="AU2" s="209"/>
      <c r="AV2" s="209"/>
      <c r="AW2" s="209"/>
    </row>
    <row r="3" spans="2:49" ht="15" customHeight="1">
      <c r="B3" s="38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</row>
    <row r="4" spans="2:49" s="24" customFormat="1" ht="19.5" customHeight="1">
      <c r="B4" s="203" t="s">
        <v>41</v>
      </c>
      <c r="C4" s="203" t="s">
        <v>42</v>
      </c>
      <c r="D4" s="203"/>
      <c r="E4" s="203"/>
      <c r="F4" s="203"/>
      <c r="G4" s="203"/>
      <c r="H4" s="203" t="s">
        <v>43</v>
      </c>
      <c r="I4" s="203"/>
      <c r="J4" s="203"/>
      <c r="K4" s="203"/>
      <c r="L4" s="203"/>
      <c r="M4" s="203"/>
      <c r="N4" s="203"/>
      <c r="O4" s="203" t="s">
        <v>28</v>
      </c>
      <c r="P4" s="39"/>
      <c r="Q4" s="203" t="s">
        <v>44</v>
      </c>
      <c r="R4" s="205" t="s">
        <v>45</v>
      </c>
      <c r="S4" s="205"/>
      <c r="T4" s="205"/>
      <c r="U4" s="205"/>
      <c r="V4" s="205" t="s">
        <v>46</v>
      </c>
      <c r="W4" s="205"/>
      <c r="X4" s="205"/>
      <c r="Y4" s="205"/>
      <c r="Z4" s="205" t="s">
        <v>47</v>
      </c>
      <c r="AA4" s="205"/>
      <c r="AB4" s="205"/>
      <c r="AC4" s="205"/>
      <c r="AD4" s="205" t="s">
        <v>48</v>
      </c>
      <c r="AE4" s="205"/>
      <c r="AF4" s="205"/>
      <c r="AG4" s="205"/>
      <c r="AI4" s="203" t="s">
        <v>44</v>
      </c>
      <c r="AJ4" s="210" t="s">
        <v>49</v>
      </c>
      <c r="AK4" s="210"/>
      <c r="AL4" s="210"/>
      <c r="AM4" s="210"/>
      <c r="AN4" s="210"/>
      <c r="AO4" s="210" t="s">
        <v>50</v>
      </c>
      <c r="AP4" s="210"/>
      <c r="AQ4" s="210"/>
      <c r="AR4" s="42"/>
      <c r="AS4" s="210" t="str">
        <f>"Resumo de Custos da Base "&amp;Resumo!B6</f>
        <v>Resumo de Custos da Base GUARAPUAVA</v>
      </c>
      <c r="AT4" s="210"/>
      <c r="AU4" s="210"/>
      <c r="AV4" s="210"/>
      <c r="AW4" s="210"/>
    </row>
    <row r="5" spans="2:49" ht="39.75" customHeight="1">
      <c r="B5" s="203"/>
      <c r="C5" s="1" t="s">
        <v>28</v>
      </c>
      <c r="D5" s="1" t="s">
        <v>51</v>
      </c>
      <c r="E5" s="1" t="s">
        <v>52</v>
      </c>
      <c r="F5" s="1" t="s">
        <v>53</v>
      </c>
      <c r="G5" s="203" t="s">
        <v>54</v>
      </c>
      <c r="H5" s="1" t="s">
        <v>55</v>
      </c>
      <c r="I5" s="1" t="s">
        <v>56</v>
      </c>
      <c r="J5" s="1" t="s">
        <v>57</v>
      </c>
      <c r="K5" s="1" t="s">
        <v>58</v>
      </c>
      <c r="L5" s="1" t="s">
        <v>59</v>
      </c>
      <c r="M5" s="1" t="s">
        <v>60</v>
      </c>
      <c r="N5" s="203" t="s">
        <v>61</v>
      </c>
      <c r="O5" s="203"/>
      <c r="P5" s="39"/>
      <c r="Q5" s="203"/>
      <c r="R5" s="1" t="s">
        <v>62</v>
      </c>
      <c r="S5" s="1" t="s">
        <v>63</v>
      </c>
      <c r="T5" s="1" t="s">
        <v>64</v>
      </c>
      <c r="U5" s="1" t="s">
        <v>65</v>
      </c>
      <c r="V5" s="203" t="s">
        <v>66</v>
      </c>
      <c r="W5" s="203" t="s">
        <v>67</v>
      </c>
      <c r="X5" s="203" t="s">
        <v>68</v>
      </c>
      <c r="Y5" s="203" t="s">
        <v>69</v>
      </c>
      <c r="Z5" s="203" t="s">
        <v>70</v>
      </c>
      <c r="AA5" s="203"/>
      <c r="AB5" s="203"/>
      <c r="AC5" s="1">
        <f>N17+'Base Londrina'!N22</f>
        <v>962.34999999999991</v>
      </c>
      <c r="AD5" s="205" t="s">
        <v>62</v>
      </c>
      <c r="AE5" s="205" t="s">
        <v>63</v>
      </c>
      <c r="AF5" s="205" t="s">
        <v>64</v>
      </c>
      <c r="AG5" s="205" t="s">
        <v>65</v>
      </c>
      <c r="AI5" s="203"/>
      <c r="AJ5" s="205" t="s">
        <v>71</v>
      </c>
      <c r="AK5" s="205" t="s">
        <v>62</v>
      </c>
      <c r="AL5" s="205" t="s">
        <v>63</v>
      </c>
      <c r="AM5" s="205" t="s">
        <v>64</v>
      </c>
      <c r="AN5" s="205" t="s">
        <v>65</v>
      </c>
      <c r="AO5" s="205" t="s">
        <v>72</v>
      </c>
      <c r="AP5" s="206" t="s">
        <v>73</v>
      </c>
      <c r="AQ5" s="205" t="s">
        <v>74</v>
      </c>
      <c r="AR5" s="40"/>
      <c r="AS5" s="205" t="s">
        <v>75</v>
      </c>
      <c r="AT5" s="41" t="s">
        <v>62</v>
      </c>
      <c r="AU5" s="41" t="s">
        <v>63</v>
      </c>
      <c r="AV5" s="41" t="s">
        <v>64</v>
      </c>
      <c r="AW5" s="41" t="s">
        <v>65</v>
      </c>
    </row>
    <row r="6" spans="2:49" ht="19.5" customHeight="1">
      <c r="B6" s="203"/>
      <c r="C6" s="43" t="s">
        <v>76</v>
      </c>
      <c r="D6" s="43">
        <v>1</v>
      </c>
      <c r="E6" s="43">
        <v>0.35</v>
      </c>
      <c r="F6" s="43">
        <v>0.1</v>
      </c>
      <c r="G6" s="203"/>
      <c r="H6" s="43">
        <v>1</v>
      </c>
      <c r="I6" s="43">
        <v>1.2</v>
      </c>
      <c r="J6" s="43">
        <v>2</v>
      </c>
      <c r="K6" s="43">
        <v>4</v>
      </c>
      <c r="L6" s="43">
        <v>1.1000000000000001</v>
      </c>
      <c r="M6" s="43">
        <v>1.1000000000000001</v>
      </c>
      <c r="N6" s="203"/>
      <c r="O6" s="203"/>
      <c r="P6" s="44"/>
      <c r="Q6" s="203"/>
      <c r="R6" s="43" t="s">
        <v>77</v>
      </c>
      <c r="S6" s="43" t="s">
        <v>78</v>
      </c>
      <c r="T6" s="43" t="s">
        <v>79</v>
      </c>
      <c r="U6" s="43" t="s">
        <v>80</v>
      </c>
      <c r="V6" s="203"/>
      <c r="W6" s="203"/>
      <c r="X6" s="203"/>
      <c r="Y6" s="203"/>
      <c r="Z6" s="26" t="s">
        <v>62</v>
      </c>
      <c r="AA6" s="26" t="s">
        <v>63</v>
      </c>
      <c r="AB6" s="26" t="s">
        <v>64</v>
      </c>
      <c r="AC6" s="26" t="s">
        <v>65</v>
      </c>
      <c r="AD6" s="205"/>
      <c r="AE6" s="205"/>
      <c r="AF6" s="205"/>
      <c r="AG6" s="205"/>
      <c r="AI6" s="203"/>
      <c r="AJ6" s="205"/>
      <c r="AK6" s="205"/>
      <c r="AL6" s="205"/>
      <c r="AM6" s="205"/>
      <c r="AN6" s="205"/>
      <c r="AO6" s="205"/>
      <c r="AP6" s="207"/>
      <c r="AQ6" s="205"/>
      <c r="AR6" s="45"/>
      <c r="AS6" s="205"/>
      <c r="AT6" s="26" t="s">
        <v>77</v>
      </c>
      <c r="AU6" s="26" t="s">
        <v>78</v>
      </c>
      <c r="AV6" s="26" t="s">
        <v>79</v>
      </c>
      <c r="AW6" s="26" t="s">
        <v>80</v>
      </c>
    </row>
    <row r="7" spans="2:49" s="3" customFormat="1" ht="15" customHeight="1">
      <c r="B7" s="165" t="s">
        <v>139</v>
      </c>
      <c r="C7" s="47">
        <f>VLOOKUP($B7,Unidades!$D$5:$N$29,6,FALSE())</f>
        <v>1221.73</v>
      </c>
      <c r="D7" s="47">
        <f>VLOOKUP($B7,Unidades!$D$5:$N$29,7,FALSE())</f>
        <v>748.48</v>
      </c>
      <c r="E7" s="47">
        <f>VLOOKUP($B7,Unidades!$D$5:$N$29,8,FALSE())</f>
        <v>360.75</v>
      </c>
      <c r="F7" s="47">
        <f>VLOOKUP($B7,Unidades!$D$5:$N$29,9,FALSE())</f>
        <v>112.5</v>
      </c>
      <c r="G7" s="47">
        <f t="shared" ref="G7:G16" si="0">D7+E7*$E$6+F7*$F$6</f>
        <v>885.99250000000006</v>
      </c>
      <c r="H7" s="48">
        <f t="shared" ref="H7:H16" si="1">IF(G7&lt;750,1.5,IF(G7&lt;2000,2,IF(G7&lt;4000,3,12)))</f>
        <v>2</v>
      </c>
      <c r="I7" s="48">
        <f t="shared" ref="I7:I16" si="2">$I$6*H7</f>
        <v>2.4</v>
      </c>
      <c r="J7" s="48" t="str">
        <f>VLOOKUP($B7,Unidades!$D$5:$N$29,10,FALSE())</f>
        <v>NÃO</v>
      </c>
      <c r="K7" s="48" t="str">
        <f>VLOOKUP($B7,Unidades!$D$5:$N$29,11,FALSE())</f>
        <v>SIM</v>
      </c>
      <c r="L7" s="48">
        <f t="shared" ref="L7:L16" si="3">$L$6*H7+(IF(J7="SIM",$J$6,0))</f>
        <v>2.2000000000000002</v>
      </c>
      <c r="M7" s="48">
        <f t="shared" ref="M7:M16" si="4">$M$6*H7+(IF(J7="SIM",$J$6,0))+(IF(K7="SIM",$K$6,0))</f>
        <v>6.2</v>
      </c>
      <c r="N7" s="48">
        <f t="shared" ref="N7:N16" si="5">H7*12+I7*4+L7*2+M7</f>
        <v>44.2</v>
      </c>
      <c r="O7" s="49">
        <f t="shared" ref="O7:O16" si="6">IF(K7="não", N7*(C$20+D$20),N7*(C$20+D$20)+(M7*+E$20))</f>
        <v>3010.6402990000001</v>
      </c>
      <c r="P7" s="50"/>
      <c r="Q7" s="16" t="str">
        <f t="shared" ref="Q7:Q16" si="7">B7</f>
        <v>APS IVAIPORÃ</v>
      </c>
      <c r="R7" s="18">
        <f t="shared" ref="R7:R16" si="8">H7*($C$20+$D$20)</f>
        <v>124.82119</v>
      </c>
      <c r="S7" s="18">
        <f t="shared" ref="S7:S16" si="9">I7*($C$20+$D$20)</f>
        <v>149.785428</v>
      </c>
      <c r="T7" s="18">
        <f t="shared" ref="T7:T16" si="10">L7*($C$20+$D$20)</f>
        <v>137.30330900000001</v>
      </c>
      <c r="U7" s="18">
        <f t="shared" ref="U7:U16" si="11">IF(K7="não",M7*($C$20+$D$20),M7*(C$20+D$20+E$20))</f>
        <v>639.037689</v>
      </c>
      <c r="V7" s="18">
        <f>VLOOKUP(Q7,'Desl. Base Guarapuava'!$C$5:$S$14,13,FALSE())*($C$20+$D$20+$E$20*(VLOOKUP(Q7,'Desl. Base Guarapuava'!$C$5:$S$14,17,FALSE())/12))</f>
        <v>159.01407680555556</v>
      </c>
      <c r="W7" s="18">
        <f>VLOOKUP(Q7,'Desl. Base Guarapuava'!$C$5:$S$14,15,FALSE())*(2+(VLOOKUP(Q7,'Desl. Base Guarapuava'!$C$5:$S$14,17,FALSE())/12))</f>
        <v>0</v>
      </c>
      <c r="X7" s="18">
        <f>VLOOKUP(Q7,'Desl. Base Guarapuava'!$C$5:$Q$14,14,FALSE())</f>
        <v>0</v>
      </c>
      <c r="Y7" s="18">
        <f>VLOOKUP(Q7,'Desl. Base Guarapuava'!$C$5:$Q$14,13,FALSE())*'Desl. Base Guarapuava'!$E$19+'Desl. Base Guarapuava'!$E$20*N7/12</f>
        <v>162.19133333333335</v>
      </c>
      <c r="Z7" s="18">
        <f>(H7/$AC$5)*'Equipe Técnica'!$C$13</f>
        <v>396.68455640476759</v>
      </c>
      <c r="AA7" s="18">
        <f>(I7/$AC$5)*'Equipe Técnica'!$C$13</f>
        <v>476.02146768572112</v>
      </c>
      <c r="AB7" s="18">
        <f>(L7/$AC$5)*'Equipe Técnica'!$C$13</f>
        <v>436.35301204524433</v>
      </c>
      <c r="AC7" s="18">
        <f>(M7/$AC$5)*'Equipe Técnica'!$C$13</f>
        <v>1229.7221248547796</v>
      </c>
      <c r="AD7" s="18">
        <f t="shared" ref="AD7:AD16" si="12">R7+(($V7+$W7+$X7+$Y7)*12/19)+$Z7</f>
        <v>724.37232122932903</v>
      </c>
      <c r="AE7" s="18">
        <f t="shared" ref="AE7:AE16" si="13">S7+(($V7+$W7+$X7+$Y7)*12/19)+$AA7</f>
        <v>828.67347051028253</v>
      </c>
      <c r="AF7" s="18">
        <f t="shared" ref="AF7:AF16" si="14">T7+(($V7+$W7+$X7+$Y7)*12/19)+$AB7</f>
        <v>776.52289586980578</v>
      </c>
      <c r="AG7" s="18">
        <f t="shared" ref="AG7:AG16" si="15">U7+(($V7+$W7+$X7+$Y7)*12/19)+$AC7</f>
        <v>2071.6263886793413</v>
      </c>
      <c r="AI7" s="16" t="str">
        <f t="shared" ref="AI7:AI16" si="16">B7</f>
        <v>APS IVAIPORÃ</v>
      </c>
      <c r="AJ7" s="51">
        <f>VLOOKUP(AI7,Unidades!D$5:H$29,5,)</f>
        <v>0.31419999999999998</v>
      </c>
      <c r="AK7" s="33">
        <f t="shared" ref="AK7:AN16" si="17">AD7*(1+$AJ7)</f>
        <v>951.97010455958423</v>
      </c>
      <c r="AL7" s="33">
        <f t="shared" si="17"/>
        <v>1089.0426749446133</v>
      </c>
      <c r="AM7" s="33">
        <f t="shared" si="17"/>
        <v>1020.5063897520988</v>
      </c>
      <c r="AN7" s="33">
        <f t="shared" si="17"/>
        <v>2722.5314000023905</v>
      </c>
      <c r="AO7" s="33">
        <f t="shared" ref="AO7:AO16" si="18">((AK7*12)+(AL7*4)+(AM7*2)+AN7)/12</f>
        <v>1711.9463445000044</v>
      </c>
      <c r="AP7" s="33">
        <f>AO7*3</f>
        <v>5135.8390335000131</v>
      </c>
      <c r="AQ7" s="33">
        <f t="shared" ref="AQ7:AQ16" si="19">AO7+AP7</f>
        <v>6847.7853780000178</v>
      </c>
      <c r="AR7" s="52"/>
      <c r="AS7" s="53" t="s">
        <v>82</v>
      </c>
      <c r="AT7" s="33">
        <f>AK17</f>
        <v>9668.8248653064529</v>
      </c>
      <c r="AU7" s="33">
        <f>AL17</f>
        <v>10892.809282233371</v>
      </c>
      <c r="AV7" s="33">
        <f>AM17</f>
        <v>11651.542777620205</v>
      </c>
      <c r="AW7" s="33">
        <f>AN17</f>
        <v>17030.138205571078</v>
      </c>
    </row>
    <row r="8" spans="2:49" s="3" customFormat="1" ht="15" customHeight="1">
      <c r="B8" s="165" t="s">
        <v>140</v>
      </c>
      <c r="C8" s="47">
        <f>VLOOKUP($B8,Unidades!$D$5:$N$29,6,FALSE())</f>
        <v>2915</v>
      </c>
      <c r="D8" s="47">
        <f>VLOOKUP($B8,Unidades!$D$5:$N$29,7,FALSE())</f>
        <v>1100</v>
      </c>
      <c r="E8" s="47">
        <f>VLOOKUP($B8,Unidades!$D$5:$N$29,8,FALSE())</f>
        <v>1715</v>
      </c>
      <c r="F8" s="47">
        <f>VLOOKUP($B8,Unidades!$D$5:$N$29,9,FALSE())</f>
        <v>100</v>
      </c>
      <c r="G8" s="47">
        <f t="shared" si="0"/>
        <v>1710.25</v>
      </c>
      <c r="H8" s="48">
        <f t="shared" si="1"/>
        <v>2</v>
      </c>
      <c r="I8" s="48">
        <f t="shared" si="2"/>
        <v>2.4</v>
      </c>
      <c r="J8" s="48" t="str">
        <f>VLOOKUP($B8,Unidades!$D$5:$N$29,10,FALSE())</f>
        <v>SIM</v>
      </c>
      <c r="K8" s="48" t="str">
        <f>VLOOKUP($B8,Unidades!$D$5:$N$29,11,FALSE())</f>
        <v>SIM</v>
      </c>
      <c r="L8" s="48">
        <f t="shared" si="3"/>
        <v>4.2</v>
      </c>
      <c r="M8" s="48">
        <f t="shared" si="4"/>
        <v>8.1999999999999993</v>
      </c>
      <c r="N8" s="48">
        <f t="shared" si="5"/>
        <v>50.2</v>
      </c>
      <c r="O8" s="49">
        <f t="shared" si="6"/>
        <v>3466.4238690000002</v>
      </c>
      <c r="P8" s="50"/>
      <c r="Q8" s="16" t="str">
        <f t="shared" si="7"/>
        <v>APS GUARAPUAVA</v>
      </c>
      <c r="R8" s="18">
        <f t="shared" si="8"/>
        <v>124.82119</v>
      </c>
      <c r="S8" s="18">
        <f t="shared" si="9"/>
        <v>149.785428</v>
      </c>
      <c r="T8" s="18">
        <f t="shared" si="10"/>
        <v>262.12449900000001</v>
      </c>
      <c r="U8" s="18">
        <f t="shared" si="11"/>
        <v>845.17887899999994</v>
      </c>
      <c r="V8" s="18">
        <f>VLOOKUP(Q8,'Desl. Base Guarapuava'!$C$5:$S$14,13,FALSE())*($C$20+$D$20+$E$20*(VLOOKUP(Q8,'Desl. Base Guarapuava'!$C$5:$S$14,17,FALSE())/12))</f>
        <v>0</v>
      </c>
      <c r="W8" s="18">
        <f>VLOOKUP(Q8,'Desl. Base Guarapuava'!$C$5:$S$14,15,FALSE())*(2+(VLOOKUP(Q8,'Desl. Base Guarapuava'!$C$5:$S$14,17,FALSE())/12))</f>
        <v>0</v>
      </c>
      <c r="X8" s="18">
        <f>VLOOKUP(Q8,'Desl. Base Guarapuava'!$C$5:$Q$14,14,FALSE())</f>
        <v>0</v>
      </c>
      <c r="Y8" s="18">
        <f>VLOOKUP(Q8,'Desl. Base Guarapuava'!$C$5:$Q$14,13,FALSE())*'Desl. Base Guarapuava'!$E$19+'Desl. Base Guarapuava'!$E$20*N8/12</f>
        <v>28.363000000000003</v>
      </c>
      <c r="Z8" s="18">
        <f>(H8/$AC$5)*'Equipe Técnica'!$C$13</f>
        <v>396.68455640476759</v>
      </c>
      <c r="AA8" s="18">
        <f>(I8/$AC$5)*'Equipe Técnica'!$C$13</f>
        <v>476.02146768572112</v>
      </c>
      <c r="AB8" s="18">
        <f>(L8/$AC$5)*'Equipe Técnica'!$C$13</f>
        <v>833.03756845001203</v>
      </c>
      <c r="AC8" s="18">
        <f>(M8/$AC$5)*'Equipe Técnica'!$C$13</f>
        <v>1626.406681259547</v>
      </c>
      <c r="AD8" s="18">
        <f t="shared" si="12"/>
        <v>539.41922008897814</v>
      </c>
      <c r="AE8" s="18">
        <f t="shared" si="13"/>
        <v>643.72036936993163</v>
      </c>
      <c r="AF8" s="18">
        <f t="shared" si="14"/>
        <v>1113.0755411342225</v>
      </c>
      <c r="AG8" s="18">
        <f t="shared" si="15"/>
        <v>2489.4990339437572</v>
      </c>
      <c r="AI8" s="16" t="str">
        <f t="shared" si="16"/>
        <v>APS GUARAPUAVA</v>
      </c>
      <c r="AJ8" s="51">
        <f>VLOOKUP(AI8,Unidades!D$5:H$29,5,)</f>
        <v>0.31419999999999998</v>
      </c>
      <c r="AK8" s="33">
        <f t="shared" si="17"/>
        <v>708.90473904093506</v>
      </c>
      <c r="AL8" s="33">
        <f t="shared" si="17"/>
        <v>845.97730942596422</v>
      </c>
      <c r="AM8" s="33">
        <f t="shared" si="17"/>
        <v>1462.8038761585951</v>
      </c>
      <c r="AN8" s="33">
        <f t="shared" si="17"/>
        <v>3271.6996304088857</v>
      </c>
      <c r="AO8" s="33">
        <f t="shared" si="18"/>
        <v>1507.339457410096</v>
      </c>
      <c r="AP8" s="33">
        <f t="shared" ref="AP8:AP16" si="20">AO8*3</f>
        <v>4522.0183722302882</v>
      </c>
      <c r="AQ8" s="33">
        <f t="shared" si="19"/>
        <v>6029.3578296403839</v>
      </c>
      <c r="AR8" s="52"/>
      <c r="AS8" s="53" t="s">
        <v>84</v>
      </c>
      <c r="AT8" s="33">
        <f>AT7*12</f>
        <v>116025.89838367744</v>
      </c>
      <c r="AU8" s="33">
        <f>AU7*4</f>
        <v>43571.237128933484</v>
      </c>
      <c r="AV8" s="33">
        <f>AV7*2</f>
        <v>23303.08555524041</v>
      </c>
      <c r="AW8" s="33">
        <f>AW7</f>
        <v>17030.138205571078</v>
      </c>
    </row>
    <row r="9" spans="2:49" s="3" customFormat="1" ht="15" customHeight="1">
      <c r="B9" s="165" t="s">
        <v>141</v>
      </c>
      <c r="C9" s="47">
        <f>VLOOKUP($B9,Unidades!$D$5:$N$29,6,FALSE())</f>
        <v>480</v>
      </c>
      <c r="D9" s="47">
        <f>VLOOKUP($B9,Unidades!$D$5:$N$29,7,FALSE())</f>
        <v>480</v>
      </c>
      <c r="E9" s="47">
        <f>VLOOKUP($B9,Unidades!$D$5:$N$29,8,FALSE())</f>
        <v>0</v>
      </c>
      <c r="F9" s="47">
        <f>VLOOKUP($B9,Unidades!$D$5:$N$29,9,FALSE())</f>
        <v>0</v>
      </c>
      <c r="G9" s="47">
        <f t="shared" si="0"/>
        <v>480</v>
      </c>
      <c r="H9" s="48">
        <f t="shared" si="1"/>
        <v>1.5</v>
      </c>
      <c r="I9" s="48">
        <f t="shared" si="2"/>
        <v>1.7999999999999998</v>
      </c>
      <c r="J9" s="48" t="str">
        <f>VLOOKUP($B9,Unidades!$D$5:$N$29,10,FALSE())</f>
        <v>NÃO</v>
      </c>
      <c r="K9" s="48" t="str">
        <f>VLOOKUP($B9,Unidades!$D$5:$N$29,11,FALSE())</f>
        <v>NÃO</v>
      </c>
      <c r="L9" s="48">
        <f t="shared" si="3"/>
        <v>1.6500000000000001</v>
      </c>
      <c r="M9" s="48">
        <f t="shared" si="4"/>
        <v>1.6500000000000001</v>
      </c>
      <c r="N9" s="48">
        <f t="shared" si="5"/>
        <v>30.15</v>
      </c>
      <c r="O9" s="49">
        <f t="shared" si="6"/>
        <v>1881.6794392499999</v>
      </c>
      <c r="P9" s="50"/>
      <c r="Q9" s="16" t="str">
        <f t="shared" si="7"/>
        <v>APS LARANJEIRAS DO SUL</v>
      </c>
      <c r="R9" s="18">
        <f t="shared" si="8"/>
        <v>93.615892500000001</v>
      </c>
      <c r="S9" s="18">
        <f t="shared" si="9"/>
        <v>112.33907099999999</v>
      </c>
      <c r="T9" s="18">
        <f t="shared" si="10"/>
        <v>102.97748175000001</v>
      </c>
      <c r="U9" s="18">
        <f t="shared" si="11"/>
        <v>102.97748175000001</v>
      </c>
      <c r="V9" s="18">
        <f>VLOOKUP(Q9,'Desl. Base Guarapuava'!$C$5:$S$14,13,FALSE())*($C$20+$D$20+$E$20*(VLOOKUP(Q9,'Desl. Base Guarapuava'!$C$5:$S$14,17,FALSE())/12))</f>
        <v>133.66269095833334</v>
      </c>
      <c r="W9" s="18">
        <f>VLOOKUP(Q9,'Desl. Base Guarapuava'!$C$5:$S$14,15,FALSE())*(2+(VLOOKUP(Q9,'Desl. Base Guarapuava'!$C$5:$S$14,17,FALSE())/12))</f>
        <v>0</v>
      </c>
      <c r="X9" s="18">
        <f>VLOOKUP(Q9,'Desl. Base Guarapuava'!$C$5:$Q$14,14,FALSE())</f>
        <v>0</v>
      </c>
      <c r="Y9" s="18">
        <f>VLOOKUP(Q9,'Desl. Base Guarapuava'!$C$5:$Q$14,13,FALSE())*'Desl. Base Guarapuava'!$E$19+'Desl. Base Guarapuava'!$E$20*N9/12</f>
        <v>138.63858333333332</v>
      </c>
      <c r="Z9" s="18">
        <f>(H9/$AC$5)*'Equipe Técnica'!$C$13</f>
        <v>297.51341730357569</v>
      </c>
      <c r="AA9" s="18">
        <f>(I9/$AC$5)*'Equipe Técnica'!$C$13</f>
        <v>357.0161007642908</v>
      </c>
      <c r="AB9" s="18">
        <f>(L9/$AC$5)*'Equipe Técnica'!$C$13</f>
        <v>327.26475903393327</v>
      </c>
      <c r="AC9" s="18">
        <f>(M9/$AC$5)*'Equipe Técnica'!$C$13</f>
        <v>327.26475903393327</v>
      </c>
      <c r="AD9" s="18">
        <f t="shared" si="12"/>
        <v>563.10906198778616</v>
      </c>
      <c r="AE9" s="18">
        <f t="shared" si="13"/>
        <v>641.33492394850123</v>
      </c>
      <c r="AF9" s="18">
        <f t="shared" si="14"/>
        <v>602.22199296814381</v>
      </c>
      <c r="AG9" s="18">
        <f t="shared" si="15"/>
        <v>602.22199296814381</v>
      </c>
      <c r="AI9" s="16" t="str">
        <f t="shared" si="16"/>
        <v>APS LARANJEIRAS DO SUL</v>
      </c>
      <c r="AJ9" s="51">
        <f>VLOOKUP(AI9,Unidades!D$5:H$29,5,)</f>
        <v>0.31419999999999998</v>
      </c>
      <c r="AK9" s="33">
        <f t="shared" si="17"/>
        <v>740.03792926434858</v>
      </c>
      <c r="AL9" s="33">
        <f t="shared" si="17"/>
        <v>842.84235705312028</v>
      </c>
      <c r="AM9" s="33">
        <f t="shared" si="17"/>
        <v>791.4401431587346</v>
      </c>
      <c r="AN9" s="33">
        <f t="shared" si="17"/>
        <v>791.4401431587346</v>
      </c>
      <c r="AO9" s="33">
        <f t="shared" si="18"/>
        <v>1218.8454174050723</v>
      </c>
      <c r="AP9" s="33">
        <f t="shared" si="20"/>
        <v>3656.5362522152172</v>
      </c>
      <c r="AQ9" s="33">
        <f t="shared" si="19"/>
        <v>4875.3816696202894</v>
      </c>
      <c r="AR9" s="52"/>
      <c r="AS9" s="52"/>
      <c r="AT9" s="54"/>
      <c r="AU9" s="54"/>
      <c r="AV9" s="54"/>
      <c r="AW9" s="54"/>
    </row>
    <row r="10" spans="2:49" s="3" customFormat="1" ht="15" customHeight="1">
      <c r="B10" s="166" t="s">
        <v>142</v>
      </c>
      <c r="C10" s="47">
        <f>VLOOKUP($B10,Unidades!$D$5:$N$29,6,FALSE())</f>
        <v>334.4</v>
      </c>
      <c r="D10" s="47">
        <f>VLOOKUP($B10,Unidades!$D$5:$N$29,7,FALSE())</f>
        <v>296</v>
      </c>
      <c r="E10" s="47">
        <f>VLOOKUP($B10,Unidades!$D$5:$N$29,8,FALSE())</f>
        <v>38.4</v>
      </c>
      <c r="F10" s="47">
        <f>VLOOKUP($B10,Unidades!$D$5:$N$29,9,FALSE())</f>
        <v>0</v>
      </c>
      <c r="G10" s="47">
        <f t="shared" si="0"/>
        <v>309.44</v>
      </c>
      <c r="H10" s="48">
        <f t="shared" si="1"/>
        <v>1.5</v>
      </c>
      <c r="I10" s="48">
        <f t="shared" si="2"/>
        <v>1.7999999999999998</v>
      </c>
      <c r="J10" s="48" t="str">
        <f>VLOOKUP($B10,Unidades!$D$5:$N$29,10,FALSE())</f>
        <v>NÃO</v>
      </c>
      <c r="K10" s="48" t="str">
        <f>VLOOKUP($B10,Unidades!$D$5:$N$29,11,FALSE())</f>
        <v>NÃO</v>
      </c>
      <c r="L10" s="48">
        <f t="shared" si="3"/>
        <v>1.6500000000000001</v>
      </c>
      <c r="M10" s="48">
        <f t="shared" si="4"/>
        <v>1.6500000000000001</v>
      </c>
      <c r="N10" s="48">
        <f t="shared" si="5"/>
        <v>30.15</v>
      </c>
      <c r="O10" s="49">
        <f t="shared" si="6"/>
        <v>1881.6794392499999</v>
      </c>
      <c r="P10" s="50"/>
      <c r="Q10" s="16" t="str">
        <f t="shared" si="7"/>
        <v>APS PINHÃO</v>
      </c>
      <c r="R10" s="18">
        <f t="shared" si="8"/>
        <v>93.615892500000001</v>
      </c>
      <c r="S10" s="18">
        <f t="shared" si="9"/>
        <v>112.33907099999999</v>
      </c>
      <c r="T10" s="18">
        <f t="shared" si="10"/>
        <v>102.97748175000001</v>
      </c>
      <c r="U10" s="18">
        <f t="shared" si="11"/>
        <v>102.97748175000001</v>
      </c>
      <c r="V10" s="18">
        <f>VLOOKUP(Q10,'Desl. Base Guarapuava'!$C$5:$S$14,13,FALSE())*($C$20+$D$20+$E$20*(VLOOKUP(Q10,'Desl. Base Guarapuava'!$C$5:$S$14,17,FALSE())/12))</f>
        <v>133.66269095833334</v>
      </c>
      <c r="W10" s="18">
        <f>VLOOKUP(Q10,'Desl. Base Guarapuava'!$C$5:$S$14,15,FALSE())*(2+(VLOOKUP(Q10,'Desl. Base Guarapuava'!$C$5:$S$14,17,FALSE())/12))</f>
        <v>0</v>
      </c>
      <c r="X10" s="18">
        <f>VLOOKUP(Q10,'Desl. Base Guarapuava'!$C$5:$Q$14,14,FALSE())</f>
        <v>0</v>
      </c>
      <c r="Y10" s="18">
        <f>VLOOKUP(Q10,'Desl. Base Guarapuava'!$C$5:$Q$14,13,FALSE())*'Desl. Base Guarapuava'!$E$19+'Desl. Base Guarapuava'!$E$20*N10/12</f>
        <v>138.63858333333332</v>
      </c>
      <c r="Z10" s="18">
        <f>(H10/$AC$5)*'Equipe Técnica'!$C$13</f>
        <v>297.51341730357569</v>
      </c>
      <c r="AA10" s="18">
        <f>(I10/$AC$5)*'Equipe Técnica'!$C$13</f>
        <v>357.0161007642908</v>
      </c>
      <c r="AB10" s="18">
        <f>(L10/$AC$5)*'Equipe Técnica'!$C$13</f>
        <v>327.26475903393327</v>
      </c>
      <c r="AC10" s="18">
        <f>(M10/$AC$5)*'Equipe Técnica'!$C$13</f>
        <v>327.26475903393327</v>
      </c>
      <c r="AD10" s="18">
        <f t="shared" si="12"/>
        <v>563.10906198778616</v>
      </c>
      <c r="AE10" s="18">
        <f t="shared" si="13"/>
        <v>641.33492394850123</v>
      </c>
      <c r="AF10" s="18">
        <f t="shared" si="14"/>
        <v>602.22199296814381</v>
      </c>
      <c r="AG10" s="18">
        <f t="shared" si="15"/>
        <v>602.22199296814381</v>
      </c>
      <c r="AI10" s="16" t="str">
        <f t="shared" si="16"/>
        <v>APS PINHÃO</v>
      </c>
      <c r="AJ10" s="51">
        <f>VLOOKUP(AI10,Unidades!D$5:H$29,5,)</f>
        <v>0.31419999999999998</v>
      </c>
      <c r="AK10" s="33">
        <f t="shared" si="17"/>
        <v>740.03792926434858</v>
      </c>
      <c r="AL10" s="33">
        <f t="shared" si="17"/>
        <v>842.84235705312028</v>
      </c>
      <c r="AM10" s="33">
        <f t="shared" si="17"/>
        <v>791.4401431587346</v>
      </c>
      <c r="AN10" s="33">
        <f t="shared" si="17"/>
        <v>791.4401431587346</v>
      </c>
      <c r="AO10" s="33">
        <f t="shared" si="18"/>
        <v>1218.8454174050723</v>
      </c>
      <c r="AP10" s="33">
        <f t="shared" si="20"/>
        <v>3656.5362522152172</v>
      </c>
      <c r="AQ10" s="33">
        <f t="shared" si="19"/>
        <v>4875.3816696202894</v>
      </c>
      <c r="AR10" s="52"/>
      <c r="AS10" s="55" t="s">
        <v>72</v>
      </c>
      <c r="AT10" s="204">
        <f>(SUM(AT8:AW8))/12</f>
        <v>16660.863272785202</v>
      </c>
      <c r="AU10" s="204"/>
      <c r="AV10" s="54"/>
      <c r="AW10" s="54"/>
    </row>
    <row r="11" spans="2:49" s="3" customFormat="1" ht="15" customHeight="1">
      <c r="B11" s="166" t="s">
        <v>143</v>
      </c>
      <c r="C11" s="47">
        <f>VLOOKUP($B11,Unidades!$D$5:$N$29,6,FALSE())</f>
        <v>354.16</v>
      </c>
      <c r="D11" s="47">
        <f>VLOOKUP($B11,Unidades!$D$5:$N$29,7,FALSE())</f>
        <v>354.16</v>
      </c>
      <c r="E11" s="47">
        <f>VLOOKUP($B11,Unidades!$D$5:$N$29,8,FALSE())</f>
        <v>0</v>
      </c>
      <c r="F11" s="47">
        <f>VLOOKUP($B11,Unidades!$D$5:$N$29,9,FALSE())</f>
        <v>0</v>
      </c>
      <c r="G11" s="47">
        <f t="shared" si="0"/>
        <v>354.16</v>
      </c>
      <c r="H11" s="48">
        <f t="shared" si="1"/>
        <v>1.5</v>
      </c>
      <c r="I11" s="48">
        <f t="shared" si="2"/>
        <v>1.7999999999999998</v>
      </c>
      <c r="J11" s="48" t="str">
        <f>VLOOKUP($B11,Unidades!$D$5:$N$29,10,FALSE())</f>
        <v>NÃO</v>
      </c>
      <c r="K11" s="48" t="str">
        <f>VLOOKUP($B11,Unidades!$D$5:$N$29,11,FALSE())</f>
        <v>NÃO</v>
      </c>
      <c r="L11" s="48">
        <f t="shared" si="3"/>
        <v>1.6500000000000001</v>
      </c>
      <c r="M11" s="48">
        <f t="shared" si="4"/>
        <v>1.6500000000000001</v>
      </c>
      <c r="N11" s="48">
        <f t="shared" si="5"/>
        <v>30.15</v>
      </c>
      <c r="O11" s="49">
        <f t="shared" si="6"/>
        <v>1881.6794392499999</v>
      </c>
      <c r="P11" s="50"/>
      <c r="Q11" s="16" t="str">
        <f t="shared" si="7"/>
        <v>APS PITANGA</v>
      </c>
      <c r="R11" s="18">
        <f t="shared" si="8"/>
        <v>93.615892500000001</v>
      </c>
      <c r="S11" s="18">
        <f t="shared" si="9"/>
        <v>112.33907099999999</v>
      </c>
      <c r="T11" s="18">
        <f t="shared" si="10"/>
        <v>102.97748175000001</v>
      </c>
      <c r="U11" s="18">
        <f t="shared" si="11"/>
        <v>102.97748175000001</v>
      </c>
      <c r="V11" s="18">
        <f>VLOOKUP(Q11,'Desl. Base Guarapuava'!$C$5:$S$14,13,FALSE())*($C$20+$D$20+$E$20*(VLOOKUP(Q11,'Desl. Base Guarapuava'!$C$5:$S$14,17,FALSE())/12))</f>
        <v>159.01407680555556</v>
      </c>
      <c r="W11" s="18">
        <f>VLOOKUP(Q11,'Desl. Base Guarapuava'!$C$5:$S$14,15,FALSE())*(2+(VLOOKUP(Q11,'Desl. Base Guarapuava'!$C$5:$S$14,17,FALSE())/12))</f>
        <v>0</v>
      </c>
      <c r="X11" s="18">
        <f>VLOOKUP(Q11,'Desl. Base Guarapuava'!$C$5:$Q$14,14,FALSE())</f>
        <v>0</v>
      </c>
      <c r="Y11" s="18">
        <f>VLOOKUP(Q11,'Desl. Base Guarapuava'!$C$5:$Q$14,13,FALSE())*'Desl. Base Guarapuava'!$E$19+'Desl. Base Guarapuava'!$E$20*N11/12</f>
        <v>154.25308333333334</v>
      </c>
      <c r="Z11" s="18">
        <f>(H11/$AC$5)*'Equipe Técnica'!$C$13</f>
        <v>297.51341730357569</v>
      </c>
      <c r="AA11" s="18">
        <f>(I11/$AC$5)*'Equipe Técnica'!$C$13</f>
        <v>357.0161007642908</v>
      </c>
      <c r="AB11" s="18">
        <f>(L11/$AC$5)*'Equipe Técnica'!$C$13</f>
        <v>327.26475903393327</v>
      </c>
      <c r="AC11" s="18">
        <f>(M11/$AC$5)*'Equipe Técnica'!$C$13</f>
        <v>327.26475903393327</v>
      </c>
      <c r="AD11" s="18">
        <f t="shared" si="12"/>
        <v>588.98225304918969</v>
      </c>
      <c r="AE11" s="18">
        <f t="shared" si="13"/>
        <v>667.20811500990476</v>
      </c>
      <c r="AF11" s="18">
        <f t="shared" si="14"/>
        <v>628.09518402954734</v>
      </c>
      <c r="AG11" s="18">
        <f t="shared" si="15"/>
        <v>628.09518402954734</v>
      </c>
      <c r="AI11" s="16" t="str">
        <f t="shared" si="16"/>
        <v>APS PITANGA</v>
      </c>
      <c r="AJ11" s="51">
        <f>VLOOKUP(AI11,Unidades!D$5:H$29,5,)</f>
        <v>0.29210000000000003</v>
      </c>
      <c r="AK11" s="33">
        <f t="shared" si="17"/>
        <v>761.02396916485804</v>
      </c>
      <c r="AL11" s="33">
        <f t="shared" si="17"/>
        <v>862.0996054042979</v>
      </c>
      <c r="AM11" s="33">
        <f t="shared" si="17"/>
        <v>811.56178728457814</v>
      </c>
      <c r="AN11" s="33">
        <f t="shared" si="17"/>
        <v>811.56178728457814</v>
      </c>
      <c r="AO11" s="33">
        <f t="shared" si="18"/>
        <v>1251.2809511207686</v>
      </c>
      <c r="AP11" s="33">
        <f t="shared" si="20"/>
        <v>3753.8428533623055</v>
      </c>
      <c r="AQ11" s="33">
        <f t="shared" si="19"/>
        <v>5005.1238044830743</v>
      </c>
      <c r="AR11" s="52"/>
      <c r="AS11" s="55" t="s">
        <v>88</v>
      </c>
      <c r="AT11" s="204">
        <f>AT10*12</f>
        <v>199930.35927342242</v>
      </c>
      <c r="AU11" s="204"/>
      <c r="AV11" s="54"/>
      <c r="AW11" s="54"/>
    </row>
    <row r="12" spans="2:49" s="3" customFormat="1" ht="15" customHeight="1">
      <c r="B12" s="166" t="s">
        <v>144</v>
      </c>
      <c r="C12" s="47">
        <f>VLOOKUP($B12,Unidades!$D$5:$N$29,6,FALSE())</f>
        <v>2820.21</v>
      </c>
      <c r="D12" s="47">
        <f>VLOOKUP($B12,Unidades!$D$5:$N$29,7,FALSE())</f>
        <v>2820.21</v>
      </c>
      <c r="E12" s="47">
        <f>VLOOKUP($B12,Unidades!$D$5:$N$29,8,FALSE())</f>
        <v>0</v>
      </c>
      <c r="F12" s="47">
        <f>VLOOKUP($B12,Unidades!$D$5:$N$29,9,FALSE())</f>
        <v>0</v>
      </c>
      <c r="G12" s="47">
        <f t="shared" si="0"/>
        <v>2820.21</v>
      </c>
      <c r="H12" s="48">
        <f t="shared" si="1"/>
        <v>3</v>
      </c>
      <c r="I12" s="48">
        <f t="shared" si="2"/>
        <v>3.5999999999999996</v>
      </c>
      <c r="J12" s="48" t="str">
        <f>VLOOKUP($B12,Unidades!$D$5:$N$29,10,FALSE())</f>
        <v>SIM</v>
      </c>
      <c r="K12" s="48" t="str">
        <f>VLOOKUP($B12,Unidades!$D$5:$N$29,11,FALSE())</f>
        <v>SIM</v>
      </c>
      <c r="L12" s="48">
        <f t="shared" si="3"/>
        <v>5.3000000000000007</v>
      </c>
      <c r="M12" s="48">
        <f t="shared" si="4"/>
        <v>9.3000000000000007</v>
      </c>
      <c r="N12" s="48">
        <f t="shared" si="5"/>
        <v>70.3</v>
      </c>
      <c r="O12" s="49">
        <f t="shared" si="6"/>
        <v>4765.6028285000002</v>
      </c>
      <c r="P12" s="50"/>
      <c r="Q12" s="16" t="str">
        <f t="shared" si="7"/>
        <v>APS TELÊMACO BORBA</v>
      </c>
      <c r="R12" s="18">
        <f t="shared" si="8"/>
        <v>187.231785</v>
      </c>
      <c r="S12" s="18">
        <f t="shared" si="9"/>
        <v>224.67814199999998</v>
      </c>
      <c r="T12" s="18">
        <f t="shared" si="10"/>
        <v>330.77615350000002</v>
      </c>
      <c r="U12" s="18">
        <f t="shared" si="11"/>
        <v>958.5565335</v>
      </c>
      <c r="V12" s="18">
        <f>VLOOKUP(Q12,'Desl. Base Guarapuava'!$C$5:$S$14,13,FALSE())*($C$20+$D$20+$E$20*(VLOOKUP(Q12,'Desl. Base Guarapuava'!$C$5:$S$14,17,FALSE())/12))</f>
        <v>480.33217683333334</v>
      </c>
      <c r="W12" s="18">
        <f>VLOOKUP(Q12,'Desl. Base Guarapuava'!$C$5:$S$14,15,FALSE())*(2+(VLOOKUP(Q12,'Desl. Base Guarapuava'!$C$5:$S$14,17,FALSE())/12))</f>
        <v>290.41666666666669</v>
      </c>
      <c r="X12" s="18">
        <f>VLOOKUP(Q12,'Desl. Base Guarapuava'!$C$5:$Q$14,14,FALSE())</f>
        <v>20</v>
      </c>
      <c r="Y12" s="18">
        <f>VLOOKUP(Q12,'Desl. Base Guarapuava'!$C$5:$Q$14,13,FALSE())*'Desl. Base Guarapuava'!$E$19+'Desl. Base Guarapuava'!$E$20*N12/12</f>
        <v>454.21349999999995</v>
      </c>
      <c r="Z12" s="18">
        <f>(H12/$AC$5)*'Equipe Técnica'!$C$13</f>
        <v>595.02683460715139</v>
      </c>
      <c r="AA12" s="18">
        <f>(I12/$AC$5)*'Equipe Técnica'!$C$13</f>
        <v>714.0322015285816</v>
      </c>
      <c r="AB12" s="18">
        <f>(L12/$AC$5)*'Equipe Técnica'!$C$13</f>
        <v>1051.2140744726344</v>
      </c>
      <c r="AC12" s="18">
        <f>(M12/$AC$5)*'Equipe Técnica'!$C$13</f>
        <v>1844.5831872821693</v>
      </c>
      <c r="AD12" s="18">
        <f t="shared" si="12"/>
        <v>1568.5506260282039</v>
      </c>
      <c r="AE12" s="18">
        <f t="shared" si="13"/>
        <v>1725.0023499496342</v>
      </c>
      <c r="AF12" s="18">
        <f t="shared" si="14"/>
        <v>2168.2822343936868</v>
      </c>
      <c r="AG12" s="18">
        <f t="shared" si="15"/>
        <v>3589.4317272032222</v>
      </c>
      <c r="AI12" s="16" t="str">
        <f t="shared" si="16"/>
        <v>APS TELÊMACO BORBA</v>
      </c>
      <c r="AJ12" s="51">
        <f>VLOOKUP(AI12,Unidades!D$5:H$29,5,)</f>
        <v>0.31419999999999998</v>
      </c>
      <c r="AK12" s="33">
        <f t="shared" si="17"/>
        <v>2061.3892327262656</v>
      </c>
      <c r="AL12" s="33">
        <f t="shared" si="17"/>
        <v>2266.9980883038093</v>
      </c>
      <c r="AM12" s="33">
        <f t="shared" si="17"/>
        <v>2849.5565124401833</v>
      </c>
      <c r="AN12" s="33">
        <f t="shared" si="17"/>
        <v>4717.2311758904743</v>
      </c>
      <c r="AO12" s="33">
        <f t="shared" si="18"/>
        <v>3685.0839455584392</v>
      </c>
      <c r="AP12" s="33">
        <f t="shared" si="20"/>
        <v>11055.251836675317</v>
      </c>
      <c r="AQ12" s="33">
        <f t="shared" si="19"/>
        <v>14740.335782233757</v>
      </c>
      <c r="AR12" s="52"/>
      <c r="AS12" s="55" t="s">
        <v>73</v>
      </c>
      <c r="AT12" s="204">
        <f>AP17</f>
        <v>49982.589818355606</v>
      </c>
      <c r="AU12" s="204"/>
      <c r="AV12" s="52"/>
      <c r="AW12" s="52"/>
    </row>
    <row r="13" spans="2:49" s="3" customFormat="1" ht="15" customHeight="1">
      <c r="B13" s="166" t="s">
        <v>145</v>
      </c>
      <c r="C13" s="47">
        <f>VLOOKUP($B13,Unidades!$D$5:$N$29,6,FALSE())</f>
        <v>334.4</v>
      </c>
      <c r="D13" s="47">
        <f>VLOOKUP($B13,Unidades!$D$5:$N$29,7,FALSE())</f>
        <v>296</v>
      </c>
      <c r="E13" s="47">
        <f>VLOOKUP($B13,Unidades!$D$5:$N$29,8,FALSE())</f>
        <v>38.4</v>
      </c>
      <c r="F13" s="47">
        <f>VLOOKUP($B13,Unidades!$D$5:$N$29,9,FALSE())</f>
        <v>0</v>
      </c>
      <c r="G13" s="47">
        <f t="shared" si="0"/>
        <v>309.44</v>
      </c>
      <c r="H13" s="48">
        <f t="shared" si="1"/>
        <v>1.5</v>
      </c>
      <c r="I13" s="48">
        <f t="shared" si="2"/>
        <v>1.7999999999999998</v>
      </c>
      <c r="J13" s="48" t="str">
        <f>VLOOKUP($B13,Unidades!$D$5:$N$29,10,FALSE())</f>
        <v>NÃO</v>
      </c>
      <c r="K13" s="48" t="str">
        <f>VLOOKUP($B13,Unidades!$D$5:$N$29,11,FALSE())</f>
        <v>NÃO</v>
      </c>
      <c r="L13" s="48">
        <f t="shared" si="3"/>
        <v>1.6500000000000001</v>
      </c>
      <c r="M13" s="48">
        <f t="shared" si="4"/>
        <v>1.6500000000000001</v>
      </c>
      <c r="N13" s="48">
        <f t="shared" si="5"/>
        <v>30.15</v>
      </c>
      <c r="O13" s="49">
        <f t="shared" si="6"/>
        <v>1881.6794392499999</v>
      </c>
      <c r="P13" s="50"/>
      <c r="Q13" s="16" t="str">
        <f t="shared" si="7"/>
        <v>APS PRUDENTÓPOLIS</v>
      </c>
      <c r="R13" s="18">
        <f t="shared" si="8"/>
        <v>93.615892500000001</v>
      </c>
      <c r="S13" s="18">
        <f t="shared" si="9"/>
        <v>112.33907099999999</v>
      </c>
      <c r="T13" s="18">
        <f t="shared" si="10"/>
        <v>102.97748175000001</v>
      </c>
      <c r="U13" s="18">
        <f t="shared" si="11"/>
        <v>102.97748175000001</v>
      </c>
      <c r="V13" s="18">
        <f>VLOOKUP(Q13,'Desl. Base Guarapuava'!$C$5:$S$14,13,FALSE())*($C$20+$D$20+$E$20*(VLOOKUP(Q13,'Desl. Base Guarapuava'!$C$5:$S$14,17,FALSE())/12))</f>
        <v>117.01986562499999</v>
      </c>
      <c r="W13" s="18">
        <f>VLOOKUP(Q13,'Desl. Base Guarapuava'!$C$5:$S$14,15,FALSE())*(2+(VLOOKUP(Q13,'Desl. Base Guarapuava'!$C$5:$S$14,17,FALSE())/12))</f>
        <v>0</v>
      </c>
      <c r="X13" s="18">
        <f>VLOOKUP(Q13,'Desl. Base Guarapuava'!$C$5:$Q$14,14,FALSE())</f>
        <v>0</v>
      </c>
      <c r="Y13" s="18">
        <f>VLOOKUP(Q13,'Desl. Base Guarapuava'!$C$5:$Q$14,13,FALSE())*'Desl. Base Guarapuava'!$E$19+'Desl. Base Guarapuava'!$E$20*N13/12</f>
        <v>123.49725000000001</v>
      </c>
      <c r="Z13" s="18">
        <f>(H13/$AC$5)*'Equipe Técnica'!$C$13</f>
        <v>297.51341730357569</v>
      </c>
      <c r="AA13" s="18">
        <f>(I13/$AC$5)*'Equipe Técnica'!$C$13</f>
        <v>357.0161007642908</v>
      </c>
      <c r="AB13" s="18">
        <f>(L13/$AC$5)*'Equipe Técnica'!$C$13</f>
        <v>327.26475903393327</v>
      </c>
      <c r="AC13" s="18">
        <f>(M13/$AC$5)*'Equipe Técnica'!$C$13</f>
        <v>327.26475903393327</v>
      </c>
      <c r="AD13" s="18">
        <f t="shared" si="12"/>
        <v>543.03485651410199</v>
      </c>
      <c r="AE13" s="18">
        <f t="shared" si="13"/>
        <v>621.26071847481717</v>
      </c>
      <c r="AF13" s="18">
        <f t="shared" si="14"/>
        <v>582.14778749445964</v>
      </c>
      <c r="AG13" s="18">
        <f t="shared" si="15"/>
        <v>582.14778749445964</v>
      </c>
      <c r="AI13" s="16" t="str">
        <f t="shared" si="16"/>
        <v>APS PRUDENTÓPOLIS</v>
      </c>
      <c r="AJ13" s="51">
        <f>VLOOKUP(AI13,Unidades!D$5:H$29,5,)</f>
        <v>0.31419999999999998</v>
      </c>
      <c r="AK13" s="33">
        <f t="shared" si="17"/>
        <v>713.65640843083281</v>
      </c>
      <c r="AL13" s="33">
        <f t="shared" si="17"/>
        <v>816.46083621960474</v>
      </c>
      <c r="AM13" s="33">
        <f t="shared" si="17"/>
        <v>765.05862232521883</v>
      </c>
      <c r="AN13" s="33">
        <f t="shared" si="17"/>
        <v>765.05862232521883</v>
      </c>
      <c r="AO13" s="33">
        <f t="shared" si="18"/>
        <v>1177.074676085339</v>
      </c>
      <c r="AP13" s="33">
        <f t="shared" si="20"/>
        <v>3531.2240282560169</v>
      </c>
      <c r="AQ13" s="33">
        <f t="shared" si="19"/>
        <v>4708.2987043413559</v>
      </c>
      <c r="AR13" s="52"/>
      <c r="AS13" s="55" t="s">
        <v>91</v>
      </c>
      <c r="AT13" s="204">
        <f>AT12*12</f>
        <v>599791.0778202673</v>
      </c>
      <c r="AU13" s="204"/>
      <c r="AV13" s="54"/>
      <c r="AW13" s="54"/>
    </row>
    <row r="14" spans="2:49" s="3" customFormat="1" ht="15" customHeight="1">
      <c r="B14" s="166" t="s">
        <v>146</v>
      </c>
      <c r="C14" s="47">
        <f>VLOOKUP($B14,Unidades!$D$5:$N$29,6,FALSE())</f>
        <v>334.4</v>
      </c>
      <c r="D14" s="47">
        <f>VLOOKUP($B14,Unidades!$D$5:$N$29,7,FALSE())</f>
        <v>296</v>
      </c>
      <c r="E14" s="47">
        <f>VLOOKUP($B14,Unidades!$D$5:$N$29,8,FALSE())</f>
        <v>38.4</v>
      </c>
      <c r="F14" s="47">
        <f>VLOOKUP($B14,Unidades!$D$5:$N$29,9,FALSE())</f>
        <v>0</v>
      </c>
      <c r="G14" s="47">
        <f t="shared" si="0"/>
        <v>309.44</v>
      </c>
      <c r="H14" s="48">
        <f t="shared" si="1"/>
        <v>1.5</v>
      </c>
      <c r="I14" s="48">
        <f t="shared" si="2"/>
        <v>1.7999999999999998</v>
      </c>
      <c r="J14" s="48" t="str">
        <f>VLOOKUP($B14,Unidades!$D$5:$N$29,10,FALSE())</f>
        <v>NÃO</v>
      </c>
      <c r="K14" s="48" t="str">
        <f>VLOOKUP($B14,Unidades!$D$5:$N$29,11,FALSE())</f>
        <v>NÃO</v>
      </c>
      <c r="L14" s="48">
        <f t="shared" si="3"/>
        <v>1.6500000000000001</v>
      </c>
      <c r="M14" s="48">
        <f t="shared" si="4"/>
        <v>1.6500000000000001</v>
      </c>
      <c r="N14" s="48">
        <f t="shared" si="5"/>
        <v>30.15</v>
      </c>
      <c r="O14" s="49">
        <f t="shared" si="6"/>
        <v>1881.6794392499999</v>
      </c>
      <c r="P14" s="50"/>
      <c r="Q14" s="16" t="str">
        <f t="shared" si="7"/>
        <v>APS IMBITUVA</v>
      </c>
      <c r="R14" s="18">
        <f t="shared" si="8"/>
        <v>93.615892500000001</v>
      </c>
      <c r="S14" s="18">
        <f t="shared" si="9"/>
        <v>112.33907099999999</v>
      </c>
      <c r="T14" s="18">
        <f t="shared" si="10"/>
        <v>102.97748175000001</v>
      </c>
      <c r="U14" s="18">
        <f t="shared" si="11"/>
        <v>102.97748175000001</v>
      </c>
      <c r="V14" s="18">
        <f>VLOOKUP(Q14,'Desl. Base Guarapuava'!$C$5:$S$14,13,FALSE())*($C$20+$D$20+$E$20*(VLOOKUP(Q14,'Desl. Base Guarapuava'!$C$5:$S$14,17,FALSE())/12))</f>
        <v>117.01986562499999</v>
      </c>
      <c r="W14" s="18">
        <f>VLOOKUP(Q14,'Desl. Base Guarapuava'!$C$5:$S$14,15,FALSE())*(2+(VLOOKUP(Q14,'Desl. Base Guarapuava'!$C$5:$S$14,17,FALSE())/12))</f>
        <v>0</v>
      </c>
      <c r="X14" s="18">
        <f>VLOOKUP(Q14,'Desl. Base Guarapuava'!$C$5:$Q$14,14,FALSE())</f>
        <v>0</v>
      </c>
      <c r="Y14" s="18">
        <f>VLOOKUP(Q14,'Desl. Base Guarapuava'!$C$5:$Q$14,13,FALSE())*'Desl. Base Guarapuava'!$E$19+'Desl. Base Guarapuava'!$E$20*N14/12</f>
        <v>123.49725000000001</v>
      </c>
      <c r="Z14" s="18">
        <f>(H14/$AC$5)*'Equipe Técnica'!$C$13</f>
        <v>297.51341730357569</v>
      </c>
      <c r="AA14" s="18">
        <f>(I14/$AC$5)*'Equipe Técnica'!$C$13</f>
        <v>357.0161007642908</v>
      </c>
      <c r="AB14" s="18">
        <f>(L14/$AC$5)*'Equipe Técnica'!$C$13</f>
        <v>327.26475903393327</v>
      </c>
      <c r="AC14" s="18">
        <f>(M14/$AC$5)*'Equipe Técnica'!$C$13</f>
        <v>327.26475903393327</v>
      </c>
      <c r="AD14" s="18">
        <f t="shared" si="12"/>
        <v>543.03485651410199</v>
      </c>
      <c r="AE14" s="18">
        <f t="shared" si="13"/>
        <v>621.26071847481717</v>
      </c>
      <c r="AF14" s="18">
        <f t="shared" si="14"/>
        <v>582.14778749445964</v>
      </c>
      <c r="AG14" s="18">
        <f t="shared" si="15"/>
        <v>582.14778749445964</v>
      </c>
      <c r="AI14" s="16" t="str">
        <f t="shared" si="16"/>
        <v>APS IMBITUVA</v>
      </c>
      <c r="AJ14" s="51">
        <f>VLOOKUP(AI14,Unidades!D$5:H$29,5,)</f>
        <v>0.31419999999999998</v>
      </c>
      <c r="AK14" s="33">
        <f t="shared" si="17"/>
        <v>713.65640843083281</v>
      </c>
      <c r="AL14" s="33">
        <f t="shared" si="17"/>
        <v>816.46083621960474</v>
      </c>
      <c r="AM14" s="33">
        <f t="shared" si="17"/>
        <v>765.05862232521883</v>
      </c>
      <c r="AN14" s="33">
        <f t="shared" si="17"/>
        <v>765.05862232521883</v>
      </c>
      <c r="AO14" s="33">
        <f t="shared" si="18"/>
        <v>1177.074676085339</v>
      </c>
      <c r="AP14" s="33">
        <f t="shared" si="20"/>
        <v>3531.2240282560169</v>
      </c>
      <c r="AQ14" s="33">
        <f t="shared" si="19"/>
        <v>4708.2987043413559</v>
      </c>
      <c r="AR14" s="52"/>
      <c r="AS14" s="55" t="s">
        <v>74</v>
      </c>
      <c r="AT14" s="204">
        <f>AT10+AT12</f>
        <v>66643.453091140807</v>
      </c>
      <c r="AU14" s="204"/>
      <c r="AV14" s="54"/>
      <c r="AW14" s="54"/>
    </row>
    <row r="15" spans="2:49" s="3" customFormat="1" ht="15" customHeight="1">
      <c r="B15" s="166" t="s">
        <v>147</v>
      </c>
      <c r="C15" s="47">
        <f>VLOOKUP($B15,Unidades!$D$5:$N$29,6,FALSE())</f>
        <v>1166.8399999999999</v>
      </c>
      <c r="D15" s="47">
        <f>VLOOKUP($B15,Unidades!$D$5:$N$29,7,FALSE())</f>
        <v>1166.8399999999999</v>
      </c>
      <c r="E15" s="47">
        <f>VLOOKUP($B15,Unidades!$D$5:$N$29,8,FALSE())</f>
        <v>0</v>
      </c>
      <c r="F15" s="47">
        <f>VLOOKUP($B15,Unidades!$D$5:$N$29,9,FALSE())</f>
        <v>0</v>
      </c>
      <c r="G15" s="47">
        <f t="shared" si="0"/>
        <v>1166.8399999999999</v>
      </c>
      <c r="H15" s="48">
        <f t="shared" si="1"/>
        <v>2</v>
      </c>
      <c r="I15" s="48">
        <f t="shared" si="2"/>
        <v>2.4</v>
      </c>
      <c r="J15" s="48" t="str">
        <f>VLOOKUP($B15,Unidades!$D$5:$N$29,10,FALSE())</f>
        <v>NÃO</v>
      </c>
      <c r="K15" s="48" t="str">
        <f>VLOOKUP($B15,Unidades!$D$5:$N$29,11,FALSE())</f>
        <v>NÃO</v>
      </c>
      <c r="L15" s="48">
        <f t="shared" si="3"/>
        <v>2.2000000000000002</v>
      </c>
      <c r="M15" s="48">
        <f t="shared" si="4"/>
        <v>2.2000000000000002</v>
      </c>
      <c r="N15" s="48">
        <f t="shared" si="5"/>
        <v>40.200000000000003</v>
      </c>
      <c r="O15" s="49">
        <f t="shared" si="6"/>
        <v>2508.9059190000003</v>
      </c>
      <c r="P15" s="50"/>
      <c r="Q15" s="16" t="str">
        <f t="shared" si="7"/>
        <v>APS JAGUARIAIVA</v>
      </c>
      <c r="R15" s="18">
        <f t="shared" si="8"/>
        <v>124.82119</v>
      </c>
      <c r="S15" s="18">
        <f t="shared" si="9"/>
        <v>149.785428</v>
      </c>
      <c r="T15" s="18">
        <f t="shared" si="10"/>
        <v>137.30330900000001</v>
      </c>
      <c r="U15" s="18">
        <f t="shared" si="11"/>
        <v>137.30330900000001</v>
      </c>
      <c r="V15" s="18">
        <f>VLOOKUP(Q15,'Desl. Base Guarapuava'!$C$5:$S$14,13,FALSE())*($C$20+$D$20+$E$20*(VLOOKUP(Q15,'Desl. Base Guarapuava'!$C$5:$S$14,17,FALSE())/12))</f>
        <v>266.28520533333335</v>
      </c>
      <c r="W15" s="18">
        <f>VLOOKUP(Q15,'Desl. Base Guarapuava'!$C$5:$S$14,15,FALSE())*(2+(VLOOKUP(Q15,'Desl. Base Guarapuava'!$C$5:$S$14,17,FALSE())/12))</f>
        <v>139.4</v>
      </c>
      <c r="X15" s="18">
        <f>VLOOKUP(Q15,'Desl. Base Guarapuava'!$C$5:$Q$14,14,FALSE())</f>
        <v>29</v>
      </c>
      <c r="Y15" s="18">
        <f>VLOOKUP(Q15,'Desl. Base Guarapuava'!$C$5:$Q$14,13,FALSE())*'Desl. Base Guarapuava'!$E$19+'Desl. Base Guarapuava'!$E$20*N15/12</f>
        <v>264.97433333333333</v>
      </c>
      <c r="Z15" s="18">
        <f>(H15/$AC$5)*'Equipe Técnica'!$C$13</f>
        <v>396.68455640476759</v>
      </c>
      <c r="AA15" s="18">
        <f>(I15/$AC$5)*'Equipe Técnica'!$C$13</f>
        <v>476.02146768572112</v>
      </c>
      <c r="AB15" s="18">
        <f>(L15/$AC$5)*'Equipe Técnica'!$C$13</f>
        <v>436.35301204524433</v>
      </c>
      <c r="AC15" s="18">
        <f>(M15/$AC$5)*'Equipe Técnica'!$C$13</f>
        <v>436.35301204524433</v>
      </c>
      <c r="AD15" s="18">
        <f t="shared" si="12"/>
        <v>963.395981352136</v>
      </c>
      <c r="AE15" s="18">
        <f t="shared" si="13"/>
        <v>1067.6971306330895</v>
      </c>
      <c r="AF15" s="18">
        <f t="shared" si="14"/>
        <v>1015.5465559926128</v>
      </c>
      <c r="AG15" s="18">
        <f t="shared" si="15"/>
        <v>1015.5465559926128</v>
      </c>
      <c r="AI15" s="16" t="str">
        <f t="shared" si="16"/>
        <v>APS JAGUARIAIVA</v>
      </c>
      <c r="AJ15" s="51">
        <f>VLOOKUP(AI15,Unidades!D$5:H$29,5,)</f>
        <v>0.2707</v>
      </c>
      <c r="AK15" s="33">
        <f t="shared" si="17"/>
        <v>1224.1872735041591</v>
      </c>
      <c r="AL15" s="33">
        <f t="shared" si="17"/>
        <v>1356.7227438954667</v>
      </c>
      <c r="AM15" s="33">
        <f t="shared" si="17"/>
        <v>1290.4550086998129</v>
      </c>
      <c r="AN15" s="33">
        <f t="shared" si="17"/>
        <v>1290.4550086998129</v>
      </c>
      <c r="AO15" s="33">
        <f t="shared" si="18"/>
        <v>1999.0419403109347</v>
      </c>
      <c r="AP15" s="33">
        <f t="shared" si="20"/>
        <v>5997.1258209328043</v>
      </c>
      <c r="AQ15" s="33">
        <f t="shared" si="19"/>
        <v>7996.1677612437388</v>
      </c>
      <c r="AR15" s="52"/>
      <c r="AS15" s="55" t="s">
        <v>94</v>
      </c>
      <c r="AT15" s="204">
        <f>AT11+AT13</f>
        <v>799721.43709368969</v>
      </c>
      <c r="AU15" s="204"/>
      <c r="AV15" s="52"/>
      <c r="AW15" s="52"/>
    </row>
    <row r="16" spans="2:49" s="3" customFormat="1" ht="15" customHeight="1">
      <c r="B16" s="166" t="s">
        <v>148</v>
      </c>
      <c r="C16" s="47">
        <f>VLOOKUP($B16,Unidades!$D$5:$N$29,6,FALSE())</f>
        <v>334.4</v>
      </c>
      <c r="D16" s="47">
        <f>VLOOKUP($B16,Unidades!$D$5:$N$29,7,FALSE())</f>
        <v>296</v>
      </c>
      <c r="E16" s="47">
        <f>VLOOKUP($B16,Unidades!$D$5:$N$29,8,FALSE())</f>
        <v>38.4</v>
      </c>
      <c r="F16" s="47">
        <f>VLOOKUP($B16,Unidades!$D$5:$N$29,9,FALSE())</f>
        <v>0</v>
      </c>
      <c r="G16" s="47">
        <f t="shared" si="0"/>
        <v>309.44</v>
      </c>
      <c r="H16" s="48">
        <f t="shared" si="1"/>
        <v>1.5</v>
      </c>
      <c r="I16" s="48">
        <f t="shared" si="2"/>
        <v>1.7999999999999998</v>
      </c>
      <c r="J16" s="48" t="str">
        <f>VLOOKUP($B16,Unidades!$D$5:$N$29,10,FALSE())</f>
        <v>NÃO</v>
      </c>
      <c r="K16" s="48" t="str">
        <f>VLOOKUP($B16,Unidades!$D$5:$N$29,11,FALSE())</f>
        <v>NÃO</v>
      </c>
      <c r="L16" s="48">
        <f t="shared" si="3"/>
        <v>1.6500000000000001</v>
      </c>
      <c r="M16" s="48">
        <f t="shared" si="4"/>
        <v>1.6500000000000001</v>
      </c>
      <c r="N16" s="48">
        <f t="shared" si="5"/>
        <v>30.15</v>
      </c>
      <c r="O16" s="49">
        <f t="shared" si="6"/>
        <v>1881.6794392499999</v>
      </c>
      <c r="P16" s="50"/>
      <c r="Q16" s="16" t="str">
        <f t="shared" si="7"/>
        <v>APS ARAPOTI</v>
      </c>
      <c r="R16" s="18">
        <f t="shared" si="8"/>
        <v>93.615892500000001</v>
      </c>
      <c r="S16" s="18">
        <f t="shared" si="9"/>
        <v>112.33907099999999</v>
      </c>
      <c r="T16" s="18">
        <f t="shared" si="10"/>
        <v>102.97748175000001</v>
      </c>
      <c r="U16" s="18">
        <f t="shared" si="11"/>
        <v>102.97748175000001</v>
      </c>
      <c r="V16" s="18">
        <f>VLOOKUP(Q16,'Desl. Base Guarapuava'!$C$5:$S$14,13,FALSE())*($C$20+$D$20+$E$20*(VLOOKUP(Q16,'Desl. Base Guarapuava'!$C$5:$S$14,17,FALSE())/12))</f>
        <v>266.28520533333335</v>
      </c>
      <c r="W16" s="18">
        <f>VLOOKUP(Q16,'Desl. Base Guarapuava'!$C$5:$S$14,15,FALSE())*(2+(VLOOKUP(Q16,'Desl. Base Guarapuava'!$C$5:$S$14,17,FALSE())/12))</f>
        <v>139.4</v>
      </c>
      <c r="X16" s="18">
        <f>VLOOKUP(Q16,'Desl. Base Guarapuava'!$C$5:$Q$14,14,FALSE())</f>
        <v>29</v>
      </c>
      <c r="Y16" s="18">
        <f>VLOOKUP(Q16,'Desl. Base Guarapuava'!$C$5:$Q$14,13,FALSE())*'Desl. Base Guarapuava'!$E$19+'Desl. Base Guarapuava'!$E$20*N16/12</f>
        <v>259.29608333333334</v>
      </c>
      <c r="Z16" s="18">
        <f>(H16/$AC$5)*'Equipe Técnica'!$C$13</f>
        <v>297.51341730357569</v>
      </c>
      <c r="AA16" s="18">
        <f>(I16/$AC$5)*'Equipe Técnica'!$C$13</f>
        <v>357.0161007642908</v>
      </c>
      <c r="AB16" s="18">
        <f>(L16/$AC$5)*'Equipe Técnica'!$C$13</f>
        <v>327.26475903393327</v>
      </c>
      <c r="AC16" s="18">
        <f>(M16/$AC$5)*'Equipe Técnica'!$C$13</f>
        <v>327.26475903393327</v>
      </c>
      <c r="AD16" s="18">
        <f t="shared" si="12"/>
        <v>829.43328159304929</v>
      </c>
      <c r="AE16" s="18">
        <f t="shared" si="13"/>
        <v>907.65914355376435</v>
      </c>
      <c r="AF16" s="18">
        <f t="shared" si="14"/>
        <v>868.54621257340693</v>
      </c>
      <c r="AG16" s="18">
        <f t="shared" si="15"/>
        <v>868.54621257340693</v>
      </c>
      <c r="AI16" s="16" t="str">
        <f t="shared" si="16"/>
        <v>APS ARAPOTI</v>
      </c>
      <c r="AJ16" s="51">
        <f>VLOOKUP(AI16,Unidades!D$5:H$29,5,)</f>
        <v>0.2707</v>
      </c>
      <c r="AK16" s="33">
        <f t="shared" si="17"/>
        <v>1053.9608709202878</v>
      </c>
      <c r="AL16" s="33">
        <f t="shared" si="17"/>
        <v>1153.3624737137684</v>
      </c>
      <c r="AM16" s="33">
        <f t="shared" si="17"/>
        <v>1103.6616723170282</v>
      </c>
      <c r="AN16" s="33">
        <f t="shared" si="17"/>
        <v>1103.6616723170282</v>
      </c>
      <c r="AO16" s="33">
        <f t="shared" si="18"/>
        <v>1714.3304469041341</v>
      </c>
      <c r="AP16" s="33">
        <f t="shared" si="20"/>
        <v>5142.9913407124022</v>
      </c>
      <c r="AQ16" s="33">
        <f t="shared" si="19"/>
        <v>6857.3217876165363</v>
      </c>
      <c r="AR16" s="52"/>
      <c r="AS16" s="52"/>
      <c r="AT16" s="52"/>
      <c r="AU16" s="52"/>
      <c r="AV16" s="52"/>
      <c r="AW16" s="52"/>
    </row>
    <row r="17" spans="2:43" s="39" customFormat="1" ht="19.5" customHeight="1">
      <c r="B17" s="57" t="s">
        <v>101</v>
      </c>
      <c r="C17" s="58">
        <f t="shared" ref="C17:I17" si="21">SUM(C7:C16)</f>
        <v>10295.539999999999</v>
      </c>
      <c r="D17" s="58">
        <f t="shared" si="21"/>
        <v>7853.6900000000005</v>
      </c>
      <c r="E17" s="58">
        <f t="shared" si="21"/>
        <v>2229.3500000000004</v>
      </c>
      <c r="F17" s="58">
        <f t="shared" si="21"/>
        <v>212.5</v>
      </c>
      <c r="G17" s="58">
        <f t="shared" si="21"/>
        <v>8655.2124999999996</v>
      </c>
      <c r="H17" s="59">
        <f t="shared" si="21"/>
        <v>18</v>
      </c>
      <c r="I17" s="59">
        <f t="shared" si="21"/>
        <v>21.599999999999998</v>
      </c>
      <c r="J17" s="59">
        <f>COUNTIF(J7:J16,"SIM")</f>
        <v>2</v>
      </c>
      <c r="K17" s="59">
        <f>COUNTIF(K7:K16,"SIM")</f>
        <v>3</v>
      </c>
      <c r="L17" s="59">
        <f>SUM(L7:L16)</f>
        <v>23.799999999999997</v>
      </c>
      <c r="M17" s="59">
        <f>SUM(M7:M16)</f>
        <v>35.79999999999999</v>
      </c>
      <c r="N17" s="59">
        <f>SUM(N7:N16)</f>
        <v>385.79999999999995</v>
      </c>
      <c r="O17" s="60">
        <f>SUM(O7:O16)</f>
        <v>25041.649551000006</v>
      </c>
      <c r="P17" s="61"/>
      <c r="Q17" s="59" t="s">
        <v>101</v>
      </c>
      <c r="R17" s="62">
        <f t="shared" ref="R17:AG17" si="22">SUM(R7:R16)</f>
        <v>1123.3907099999997</v>
      </c>
      <c r="S17" s="62">
        <f t="shared" si="22"/>
        <v>1348.0688519999999</v>
      </c>
      <c r="T17" s="62">
        <f t="shared" si="22"/>
        <v>1485.372161</v>
      </c>
      <c r="U17" s="62">
        <f t="shared" si="22"/>
        <v>3197.9413009999998</v>
      </c>
      <c r="V17" s="62">
        <f t="shared" si="22"/>
        <v>1832.2958542777778</v>
      </c>
      <c r="W17" s="62">
        <f t="shared" si="22"/>
        <v>569.2166666666667</v>
      </c>
      <c r="X17" s="62">
        <f t="shared" si="22"/>
        <v>78</v>
      </c>
      <c r="Y17" s="62">
        <f t="shared" si="22"/>
        <v>1847.5629999999996</v>
      </c>
      <c r="Z17" s="62">
        <f t="shared" si="22"/>
        <v>3570.1610076429092</v>
      </c>
      <c r="AA17" s="62">
        <f t="shared" si="22"/>
        <v>4284.1932091714898</v>
      </c>
      <c r="AB17" s="62">
        <f t="shared" si="22"/>
        <v>4720.5462212167349</v>
      </c>
      <c r="AC17" s="62">
        <f t="shared" si="22"/>
        <v>7100.6535596453396</v>
      </c>
      <c r="AD17" s="62">
        <f t="shared" si="22"/>
        <v>7426.4415203446624</v>
      </c>
      <c r="AE17" s="62">
        <f t="shared" si="22"/>
        <v>8365.151863873245</v>
      </c>
      <c r="AF17" s="62">
        <f t="shared" si="22"/>
        <v>8938.8081849184873</v>
      </c>
      <c r="AG17" s="62">
        <f t="shared" si="22"/>
        <v>13031.484663347093</v>
      </c>
      <c r="AI17" s="202" t="s">
        <v>101</v>
      </c>
      <c r="AJ17" s="202"/>
      <c r="AK17" s="63">
        <f t="shared" ref="AK17:AQ17" si="23">SUM(AK7:AK16)</f>
        <v>9668.8248653064529</v>
      </c>
      <c r="AL17" s="63">
        <f t="shared" si="23"/>
        <v>10892.809282233371</v>
      </c>
      <c r="AM17" s="63">
        <f t="shared" si="23"/>
        <v>11651.542777620205</v>
      </c>
      <c r="AN17" s="63">
        <f t="shared" si="23"/>
        <v>17030.138205571078</v>
      </c>
      <c r="AO17" s="63">
        <f t="shared" si="23"/>
        <v>16660.863272785202</v>
      </c>
      <c r="AP17" s="63">
        <f t="shared" si="23"/>
        <v>49982.589818355606</v>
      </c>
      <c r="AQ17" s="63">
        <f t="shared" si="23"/>
        <v>66643.453091140807</v>
      </c>
    </row>
    <row r="18" spans="2:43" ht="18" customHeight="1">
      <c r="H18" s="64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40"/>
      <c r="AE18" s="40"/>
      <c r="AF18" s="40"/>
      <c r="AG18" s="40"/>
    </row>
    <row r="19" spans="2:43" ht="39.75" customHeight="1">
      <c r="B19" s="203" t="s">
        <v>30</v>
      </c>
      <c r="C19" s="66" t="s">
        <v>102</v>
      </c>
      <c r="D19" s="66" t="s">
        <v>103</v>
      </c>
      <c r="E19" s="66" t="s">
        <v>104</v>
      </c>
      <c r="R19" s="21"/>
      <c r="Z19" s="21"/>
      <c r="AA19" s="21"/>
      <c r="AB19" s="21"/>
      <c r="AC19" s="21"/>
    </row>
    <row r="20" spans="2:43" ht="18" customHeight="1">
      <c r="B20" s="203"/>
      <c r="C20" s="18">
        <f>'Comp. Oficial de Manutenção'!D11</f>
        <v>34.720594999999996</v>
      </c>
      <c r="D20" s="18">
        <f>'Base Londrina'!D25</f>
        <v>27.69</v>
      </c>
      <c r="E20" s="18">
        <f>'Base Londrina'!E25</f>
        <v>40.659999999999997</v>
      </c>
    </row>
    <row r="21" spans="2:43" ht="28.5" customHeight="1">
      <c r="B21" s="36" t="str">
        <f>'Equipe Técnica'!B9</f>
        <v>* SINAPI Maio/2025 (Desonerado)</v>
      </c>
    </row>
    <row r="22" spans="2:43" ht="23.25" customHeight="1"/>
  </sheetData>
  <mergeCells count="44">
    <mergeCell ref="B2:O2"/>
    <mergeCell ref="Q2:AG2"/>
    <mergeCell ref="AI2:AW2"/>
    <mergeCell ref="B4:B6"/>
    <mergeCell ref="C4:G4"/>
    <mergeCell ref="H4:N4"/>
    <mergeCell ref="O4:O6"/>
    <mergeCell ref="Q4:Q6"/>
    <mergeCell ref="R4:U4"/>
    <mergeCell ref="V4:Y4"/>
    <mergeCell ref="AS4:AW4"/>
    <mergeCell ref="Z5:AB5"/>
    <mergeCell ref="AD5:AD6"/>
    <mergeCell ref="AE5:AE6"/>
    <mergeCell ref="AF5:AF6"/>
    <mergeCell ref="Z4:AC4"/>
    <mergeCell ref="AD4:AG4"/>
    <mergeCell ref="AI4:AI6"/>
    <mergeCell ref="AJ4:AN4"/>
    <mergeCell ref="AO4:AQ4"/>
    <mergeCell ref="AT10:AU10"/>
    <mergeCell ref="AT11:AU11"/>
    <mergeCell ref="AG5:AG6"/>
    <mergeCell ref="AJ5:AJ6"/>
    <mergeCell ref="AK5:AK6"/>
    <mergeCell ref="AL5:AL6"/>
    <mergeCell ref="AM5:AM6"/>
    <mergeCell ref="AN5:AN6"/>
    <mergeCell ref="B19:B20"/>
    <mergeCell ref="AO5:AO6"/>
    <mergeCell ref="AP5:AP6"/>
    <mergeCell ref="AQ5:AQ6"/>
    <mergeCell ref="AS5:AS6"/>
    <mergeCell ref="G5:G6"/>
    <mergeCell ref="N5:N6"/>
    <mergeCell ref="V5:V6"/>
    <mergeCell ref="W5:W6"/>
    <mergeCell ref="X5:X6"/>
    <mergeCell ref="Y5:Y6"/>
    <mergeCell ref="AT12:AU12"/>
    <mergeCell ref="AT13:AU13"/>
    <mergeCell ref="AT14:AU14"/>
    <mergeCell ref="AT15:AU15"/>
    <mergeCell ref="AI17:AJ17"/>
  </mergeCells>
  <printOptions horizontalCentered="1" verticalCentered="1"/>
  <pageMargins left="7.8472222222222193E-2" right="3.8194444444444503E-2" top="0.196527777777778" bottom="0.196527777777778" header="0.511811023622047" footer="0.511811023622047"/>
  <pageSetup paperSize="9" pageOrder="overThenDown" orientation="portrait" useFirstPageNumber="1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1799-2518-4582-9B35-A70EC610516E}">
  <sheetPr>
    <tabColor theme="9" tint="0.79998168889431442"/>
  </sheetPr>
  <dimension ref="B1:IZ34"/>
  <sheetViews>
    <sheetView showGridLines="0" zoomScaleNormal="100" workbookViewId="0">
      <selection activeCell="K8" sqref="K8:K9"/>
    </sheetView>
  </sheetViews>
  <sheetFormatPr defaultColWidth="8.625" defaultRowHeight="14.25"/>
  <cols>
    <col min="1" max="1" width="5.625" customWidth="1"/>
    <col min="2" max="2" width="12.625" style="67" customWidth="1"/>
    <col min="3" max="3" width="32.625" style="67" customWidth="1"/>
    <col min="4" max="13" width="9.625" style="67" customWidth="1"/>
    <col min="14" max="15" width="9.625" style="68" customWidth="1"/>
    <col min="16" max="17" width="9.625" style="67" customWidth="1"/>
    <col min="18" max="18" width="11.75" style="67" customWidth="1"/>
    <col min="19" max="19" width="14.25" style="67" customWidth="1"/>
    <col min="20" max="260" width="8.625" style="67"/>
  </cols>
  <sheetData>
    <row r="1" spans="2:19" ht="15" customHeight="1"/>
    <row r="2" spans="2:19" ht="24.75" customHeight="1">
      <c r="B2" s="224" t="str">
        <f>"DESLOCAMENTO BASE "&amp;Resumo!B6</f>
        <v>DESLOCAMENTO BASE GUARAPUAVA</v>
      </c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197"/>
    </row>
    <row r="3" spans="2:19" ht="15" customHeight="1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2:19" ht="37.5" customHeight="1">
      <c r="B4" s="15" t="s">
        <v>105</v>
      </c>
      <c r="C4" s="15" t="str">
        <f>"Rota (saída e retorno "&amp;Resumo!B6&amp;")"</f>
        <v>Rota (saída e retorno GUARAPUAVA)</v>
      </c>
      <c r="D4" s="15" t="s">
        <v>106</v>
      </c>
      <c r="E4" s="15" t="s">
        <v>107</v>
      </c>
      <c r="F4" s="15" t="s">
        <v>108</v>
      </c>
      <c r="G4" s="15" t="s">
        <v>109</v>
      </c>
      <c r="H4" s="15" t="s">
        <v>110</v>
      </c>
      <c r="I4" s="15" t="s">
        <v>111</v>
      </c>
      <c r="J4" s="15" t="s">
        <v>112</v>
      </c>
      <c r="K4" s="15" t="s">
        <v>113</v>
      </c>
      <c r="L4" s="15" t="s">
        <v>114</v>
      </c>
      <c r="M4" s="70" t="s">
        <v>115</v>
      </c>
      <c r="N4" s="15" t="s">
        <v>116</v>
      </c>
      <c r="O4" s="15" t="s">
        <v>117</v>
      </c>
      <c r="P4" s="15" t="s">
        <v>118</v>
      </c>
      <c r="Q4" s="15" t="s">
        <v>67</v>
      </c>
      <c r="R4" s="15" t="s">
        <v>119</v>
      </c>
      <c r="S4" s="15" t="s">
        <v>120</v>
      </c>
    </row>
    <row r="5" spans="2:19" ht="15.75" customHeight="1">
      <c r="B5" s="183">
        <v>1</v>
      </c>
      <c r="C5" s="56" t="s">
        <v>140</v>
      </c>
      <c r="D5" s="72">
        <v>0</v>
      </c>
      <c r="E5" s="72">
        <v>0</v>
      </c>
      <c r="F5" s="72">
        <v>0</v>
      </c>
      <c r="G5" s="177">
        <v>0</v>
      </c>
      <c r="H5" s="167">
        <v>0</v>
      </c>
      <c r="I5" s="167">
        <v>0</v>
      </c>
      <c r="J5" s="167">
        <v>0</v>
      </c>
      <c r="K5" s="74">
        <f>SUM(H5:J5)</f>
        <v>0</v>
      </c>
      <c r="L5" s="77">
        <f>K5/60</f>
        <v>0</v>
      </c>
      <c r="M5" s="76">
        <v>0</v>
      </c>
      <c r="N5" s="74">
        <v>1</v>
      </c>
      <c r="O5" s="77">
        <f>L5/N5</f>
        <v>0</v>
      </c>
      <c r="P5" s="178">
        <v>0</v>
      </c>
      <c r="Q5" s="184">
        <v>0</v>
      </c>
      <c r="R5" s="168" t="str">
        <f>INDEX('Base Guarapuava'!K$7:K$17,MATCH('Desl. Base Guarapuava'!C5,'Base Guarapuava'!B$7:B$17,0))</f>
        <v>SIM</v>
      </c>
      <c r="S5" s="179">
        <v>1</v>
      </c>
    </row>
    <row r="6" spans="2:19" ht="15.75" customHeight="1">
      <c r="B6" s="215">
        <v>2</v>
      </c>
      <c r="C6" s="56" t="s">
        <v>141</v>
      </c>
      <c r="D6" s="216">
        <v>116</v>
      </c>
      <c r="E6" s="216">
        <f>235-D6</f>
        <v>119</v>
      </c>
      <c r="F6" s="216">
        <v>52.1</v>
      </c>
      <c r="G6" s="213">
        <f>SUM(D6:F7)</f>
        <v>287.10000000000002</v>
      </c>
      <c r="H6" s="214">
        <v>100</v>
      </c>
      <c r="I6" s="214">
        <f>207-H6</f>
        <v>107</v>
      </c>
      <c r="J6" s="214">
        <v>50</v>
      </c>
      <c r="K6" s="212">
        <f>SUM(H6:J7)</f>
        <v>257</v>
      </c>
      <c r="L6" s="211">
        <f>K6/60</f>
        <v>4.2833333333333332</v>
      </c>
      <c r="M6" s="225">
        <v>0</v>
      </c>
      <c r="N6" s="212">
        <v>2</v>
      </c>
      <c r="O6" s="77">
        <f>L6/N6</f>
        <v>2.1416666666666666</v>
      </c>
      <c r="P6" s="76">
        <v>0</v>
      </c>
      <c r="Q6" s="185">
        <v>0</v>
      </c>
      <c r="R6" s="168" t="str">
        <f>INDEX('Base Guarapuava'!K$7:K$17,MATCH('Desl. Base Guarapuava'!C6,'Base Guarapuava'!B$7:B$17,0))</f>
        <v>NÃO</v>
      </c>
      <c r="S6" s="179">
        <v>0</v>
      </c>
    </row>
    <row r="7" spans="2:19" ht="15.75" customHeight="1">
      <c r="B7" s="215"/>
      <c r="C7" s="56" t="s">
        <v>142</v>
      </c>
      <c r="D7" s="216"/>
      <c r="E7" s="216"/>
      <c r="F7" s="216"/>
      <c r="G7" s="213"/>
      <c r="H7" s="214"/>
      <c r="I7" s="214"/>
      <c r="J7" s="214"/>
      <c r="K7" s="212"/>
      <c r="L7" s="211"/>
      <c r="M7" s="225">
        <v>0</v>
      </c>
      <c r="N7" s="212"/>
      <c r="O7" s="77">
        <f>O6</f>
        <v>2.1416666666666666</v>
      </c>
      <c r="P7" s="182">
        <v>0</v>
      </c>
      <c r="Q7" s="185">
        <v>0</v>
      </c>
      <c r="R7" s="168" t="str">
        <f>INDEX('Base Guarapuava'!K$7:K$17,MATCH('Desl. Base Guarapuava'!C7,'Base Guarapuava'!B$7:B$17,0))</f>
        <v>NÃO</v>
      </c>
      <c r="S7" s="179">
        <v>0</v>
      </c>
    </row>
    <row r="8" spans="2:19" ht="15.75" customHeight="1">
      <c r="B8" s="215">
        <v>3</v>
      </c>
      <c r="C8" s="56" t="s">
        <v>143</v>
      </c>
      <c r="D8" s="216">
        <v>89.3</v>
      </c>
      <c r="E8" s="216">
        <v>73.400000000000006</v>
      </c>
      <c r="F8" s="216">
        <v>163</v>
      </c>
      <c r="G8" s="213">
        <f>SUM(D8:F9)</f>
        <v>325.7</v>
      </c>
      <c r="H8" s="214">
        <v>79</v>
      </c>
      <c r="I8" s="214">
        <v>66</v>
      </c>
      <c r="J8" s="214">
        <v>145</v>
      </c>
      <c r="K8" s="212">
        <f>SUM(H8:J9)</f>
        <v>290</v>
      </c>
      <c r="L8" s="211">
        <f>K8/60</f>
        <v>4.833333333333333</v>
      </c>
      <c r="M8" s="225">
        <v>0</v>
      </c>
      <c r="N8" s="212">
        <v>2</v>
      </c>
      <c r="O8" s="77">
        <f>L8/N8</f>
        <v>2.4166666666666665</v>
      </c>
      <c r="P8" s="76">
        <v>0</v>
      </c>
      <c r="Q8" s="185">
        <v>0</v>
      </c>
      <c r="R8" s="168" t="str">
        <f>INDEX('Base Guarapuava'!K$7:K$17,MATCH('Desl. Base Guarapuava'!C8,'Base Guarapuava'!B$7:B$17,0))</f>
        <v>NÃO</v>
      </c>
      <c r="S8" s="179">
        <v>1</v>
      </c>
    </row>
    <row r="9" spans="2:19" ht="15.75" customHeight="1">
      <c r="B9" s="215"/>
      <c r="C9" s="56" t="s">
        <v>139</v>
      </c>
      <c r="D9" s="216"/>
      <c r="E9" s="216"/>
      <c r="F9" s="216"/>
      <c r="G9" s="213"/>
      <c r="H9" s="214"/>
      <c r="I9" s="214"/>
      <c r="J9" s="214"/>
      <c r="K9" s="212"/>
      <c r="L9" s="211"/>
      <c r="M9" s="225"/>
      <c r="N9" s="212"/>
      <c r="O9" s="77">
        <f>O8</f>
        <v>2.4166666666666665</v>
      </c>
      <c r="P9" s="182">
        <v>0</v>
      </c>
      <c r="Q9" s="185">
        <v>0</v>
      </c>
      <c r="R9" s="168" t="str">
        <f>INDEX('Base Guarapuava'!K$7:K$17,MATCH('Desl. Base Guarapuava'!C9,'Base Guarapuava'!B$7:B$17,0))</f>
        <v>SIM</v>
      </c>
      <c r="S9" s="179">
        <v>1</v>
      </c>
    </row>
    <row r="10" spans="2:19" ht="15.75" customHeight="1">
      <c r="B10" s="215">
        <v>4</v>
      </c>
      <c r="C10" s="56" t="s">
        <v>145</v>
      </c>
      <c r="D10" s="216">
        <v>68.900000000000006</v>
      </c>
      <c r="E10" s="216">
        <f>113-D10</f>
        <v>44.099999999999994</v>
      </c>
      <c r="F10" s="216">
        <v>111</v>
      </c>
      <c r="G10" s="213">
        <f>SUM(D10:F11)</f>
        <v>224</v>
      </c>
      <c r="H10" s="214">
        <v>72</v>
      </c>
      <c r="I10" s="214">
        <f>117-H10</f>
        <v>45</v>
      </c>
      <c r="J10" s="214">
        <v>108</v>
      </c>
      <c r="K10" s="212">
        <f>SUM(H10:J11)</f>
        <v>225</v>
      </c>
      <c r="L10" s="211">
        <f>K10/60</f>
        <v>3.75</v>
      </c>
      <c r="M10" s="225">
        <v>0</v>
      </c>
      <c r="N10" s="212">
        <v>2</v>
      </c>
      <c r="O10" s="77">
        <f>L10/N10</f>
        <v>1.875</v>
      </c>
      <c r="P10" s="76">
        <v>0</v>
      </c>
      <c r="Q10" s="185">
        <v>0</v>
      </c>
      <c r="R10" s="168" t="str">
        <f>INDEX('Base Guarapuava'!K$7:K$17,MATCH('Desl. Base Guarapuava'!C10,'Base Guarapuava'!B$7:B$17,0))</f>
        <v>NÃO</v>
      </c>
      <c r="S10" s="179">
        <v>0</v>
      </c>
    </row>
    <row r="11" spans="2:19" ht="15.75" customHeight="1">
      <c r="B11" s="215"/>
      <c r="C11" s="56" t="s">
        <v>146</v>
      </c>
      <c r="D11" s="216"/>
      <c r="E11" s="216"/>
      <c r="F11" s="216"/>
      <c r="G11" s="213"/>
      <c r="H11" s="214"/>
      <c r="I11" s="214"/>
      <c r="J11" s="214"/>
      <c r="K11" s="212"/>
      <c r="L11" s="211"/>
      <c r="M11" s="225"/>
      <c r="N11" s="212"/>
      <c r="O11" s="77">
        <f>O10</f>
        <v>1.875</v>
      </c>
      <c r="P11" s="182">
        <v>0</v>
      </c>
      <c r="Q11" s="185">
        <v>0</v>
      </c>
      <c r="R11" s="168" t="str">
        <f>INDEX('Base Guarapuava'!K$7:K$17,MATCH('Desl. Base Guarapuava'!C11,'Base Guarapuava'!B$7:B$17,0))</f>
        <v>NÃO</v>
      </c>
      <c r="S11" s="179">
        <v>0</v>
      </c>
    </row>
    <row r="12" spans="2:19" ht="15.75" customHeight="1">
      <c r="B12" s="215">
        <v>5</v>
      </c>
      <c r="C12" s="181" t="s">
        <v>147</v>
      </c>
      <c r="D12" s="216">
        <v>274</v>
      </c>
      <c r="E12" s="216">
        <v>23</v>
      </c>
      <c r="F12" s="216">
        <v>290</v>
      </c>
      <c r="G12" s="213">
        <f>SUM(D12:F13)</f>
        <v>587</v>
      </c>
      <c r="H12" s="214">
        <v>239</v>
      </c>
      <c r="I12" s="214">
        <v>25</v>
      </c>
      <c r="J12" s="214">
        <v>248</v>
      </c>
      <c r="K12" s="212">
        <f>SUM(H12:J13)</f>
        <v>512</v>
      </c>
      <c r="L12" s="211">
        <f>K12/60</f>
        <v>8.5333333333333332</v>
      </c>
      <c r="M12" s="225">
        <f>(7.6+11.4+10)*2</f>
        <v>58</v>
      </c>
      <c r="N12" s="212">
        <v>2</v>
      </c>
      <c r="O12" s="77">
        <f>L12/N12</f>
        <v>4.2666666666666666</v>
      </c>
      <c r="P12" s="76">
        <f>M12/N12</f>
        <v>29</v>
      </c>
      <c r="Q12" s="185">
        <f>E33/2</f>
        <v>69.7</v>
      </c>
      <c r="R12" s="168" t="str">
        <f>INDEX('Base Guarapuava'!K$7:K$17,MATCH('Desl. Base Guarapuava'!C12,'Base Guarapuava'!B$7:B$17,0))</f>
        <v>NÃO</v>
      </c>
      <c r="S12" s="179">
        <v>0</v>
      </c>
    </row>
    <row r="13" spans="2:19" ht="15.75" customHeight="1">
      <c r="B13" s="215"/>
      <c r="C13" s="181" t="s">
        <v>148</v>
      </c>
      <c r="D13" s="216"/>
      <c r="E13" s="216"/>
      <c r="F13" s="216"/>
      <c r="G13" s="213"/>
      <c r="H13" s="214"/>
      <c r="I13" s="214"/>
      <c r="J13" s="214"/>
      <c r="K13" s="212"/>
      <c r="L13" s="211"/>
      <c r="M13" s="225"/>
      <c r="N13" s="212"/>
      <c r="O13" s="77">
        <f>O12</f>
        <v>4.2666666666666666</v>
      </c>
      <c r="P13" s="182">
        <f>P12</f>
        <v>29</v>
      </c>
      <c r="Q13" s="186">
        <f>Q12</f>
        <v>69.7</v>
      </c>
      <c r="R13" s="168" t="str">
        <f>INDEX('Base Guarapuava'!K$7:K$17,MATCH('Desl. Base Guarapuava'!C13,'Base Guarapuava'!B$7:B$17,0))</f>
        <v>NÃO</v>
      </c>
      <c r="S13" s="179">
        <v>0</v>
      </c>
    </row>
    <row r="14" spans="2:19" ht="15.75" customHeight="1">
      <c r="B14" s="71">
        <v>6</v>
      </c>
      <c r="C14" s="181" t="s">
        <v>144</v>
      </c>
      <c r="D14" s="72">
        <v>262</v>
      </c>
      <c r="E14" s="72">
        <v>262</v>
      </c>
      <c r="F14" s="72">
        <v>0</v>
      </c>
      <c r="G14" s="73">
        <f>SUM(D14:F14)</f>
        <v>524</v>
      </c>
      <c r="H14" s="167">
        <v>219</v>
      </c>
      <c r="I14" s="167">
        <v>219</v>
      </c>
      <c r="J14" s="167">
        <v>0</v>
      </c>
      <c r="K14" s="74">
        <f>SUM(H14:J14)</f>
        <v>438</v>
      </c>
      <c r="L14" s="77">
        <f>K14/60</f>
        <v>7.3</v>
      </c>
      <c r="M14" s="76">
        <f>10*2</f>
        <v>20</v>
      </c>
      <c r="N14" s="74">
        <v>1</v>
      </c>
      <c r="O14" s="77">
        <f>L14/N14</f>
        <v>7.3</v>
      </c>
      <c r="P14" s="76">
        <f>M14/N14</f>
        <v>20</v>
      </c>
      <c r="Q14" s="178">
        <f>E33</f>
        <v>139.4</v>
      </c>
      <c r="R14" s="168" t="str">
        <f>INDEX('Base Guarapuava'!K$7:K$17,MATCH('Desl. Base Guarapuava'!C14,'Base Guarapuava'!B$7:B$17,0))</f>
        <v>SIM</v>
      </c>
      <c r="S14" s="179">
        <v>1</v>
      </c>
    </row>
    <row r="15" spans="2:19" s="67" customFormat="1" ht="19.5" customHeight="1">
      <c r="B15" s="219" t="s">
        <v>101</v>
      </c>
      <c r="C15" s="219"/>
      <c r="D15" s="219"/>
      <c r="E15" s="219"/>
      <c r="F15" s="219"/>
      <c r="G15" s="78">
        <f>SUM(G5:G14)</f>
        <v>1947.8</v>
      </c>
      <c r="H15" s="220" t="s">
        <v>101</v>
      </c>
      <c r="I15" s="220"/>
      <c r="J15" s="220"/>
      <c r="K15" s="79">
        <f t="shared" ref="K15:Q15" si="0">SUM(K5:K14)</f>
        <v>1722</v>
      </c>
      <c r="L15" s="80">
        <f t="shared" si="0"/>
        <v>28.7</v>
      </c>
      <c r="M15" s="81">
        <f t="shared" si="0"/>
        <v>78</v>
      </c>
      <c r="N15" s="82">
        <f t="shared" si="0"/>
        <v>10</v>
      </c>
      <c r="O15" s="175">
        <f t="shared" si="0"/>
        <v>28.7</v>
      </c>
      <c r="P15" s="81">
        <f t="shared" si="0"/>
        <v>78</v>
      </c>
      <c r="Q15" s="81">
        <f t="shared" si="0"/>
        <v>278.8</v>
      </c>
      <c r="R15" s="81"/>
      <c r="S15" s="81"/>
    </row>
    <row r="16" spans="2:19" s="67" customFormat="1" ht="16.5" customHeight="1">
      <c r="B16" s="83"/>
      <c r="C16" s="83"/>
      <c r="D16" s="83"/>
      <c r="E16" s="83"/>
      <c r="F16" s="83"/>
      <c r="N16" s="68"/>
      <c r="O16" s="68"/>
    </row>
    <row r="17" spans="2:15" s="67" customFormat="1" ht="18.75" customHeight="1">
      <c r="B17" s="221" t="s">
        <v>121</v>
      </c>
      <c r="C17" s="221"/>
      <c r="D17" s="221"/>
      <c r="E17" s="221"/>
      <c r="F17" s="83"/>
      <c r="G17" s="83"/>
      <c r="H17" s="83"/>
      <c r="I17" s="83"/>
      <c r="J17" s="83"/>
      <c r="K17" s="83"/>
      <c r="L17" s="83"/>
      <c r="M17" s="83"/>
      <c r="N17" s="84"/>
      <c r="O17" s="84"/>
    </row>
    <row r="18" spans="2:15" s="67" customFormat="1" ht="18.75" customHeight="1">
      <c r="B18" s="85" t="s">
        <v>122</v>
      </c>
      <c r="C18" s="85" t="s">
        <v>123</v>
      </c>
      <c r="D18" s="85" t="s">
        <v>124</v>
      </c>
      <c r="E18" s="85" t="s">
        <v>125</v>
      </c>
      <c r="F18" s="83"/>
      <c r="G18" s="83"/>
      <c r="H18" s="84"/>
      <c r="I18" s="84"/>
      <c r="J18" s="83"/>
      <c r="K18" s="83"/>
      <c r="L18" s="83"/>
      <c r="M18" s="83"/>
      <c r="N18" s="84"/>
      <c r="O18" s="84"/>
    </row>
    <row r="19" spans="2:15" s="67" customFormat="1" ht="18.75" customHeight="1">
      <c r="B19" s="35" t="s">
        <v>126</v>
      </c>
      <c r="C19" s="86" t="s">
        <v>127</v>
      </c>
      <c r="D19" s="35" t="s">
        <v>128</v>
      </c>
      <c r="E19" s="87">
        <f>'Comp. Veículo'!D11</f>
        <v>56.78</v>
      </c>
      <c r="F19" s="83"/>
      <c r="G19" s="83"/>
      <c r="H19" s="88"/>
      <c r="I19" s="88"/>
      <c r="J19" s="83"/>
      <c r="K19" s="83"/>
      <c r="L19" s="83"/>
      <c r="M19" s="83"/>
      <c r="N19" s="84"/>
      <c r="O19" s="84"/>
    </row>
    <row r="20" spans="2:15" s="67" customFormat="1" ht="18.75" customHeight="1">
      <c r="B20" s="89" t="s">
        <v>129</v>
      </c>
      <c r="C20" s="90" t="s">
        <v>127</v>
      </c>
      <c r="D20" s="89" t="s">
        <v>130</v>
      </c>
      <c r="E20" s="91">
        <f>'Comp. Veículo'!D27</f>
        <v>6.78</v>
      </c>
      <c r="F20" s="83"/>
      <c r="G20" s="83"/>
      <c r="H20" s="88"/>
      <c r="I20" s="88"/>
      <c r="J20" s="83"/>
      <c r="K20" s="83"/>
      <c r="L20" s="83"/>
      <c r="M20" s="83"/>
      <c r="N20" s="84"/>
      <c r="O20" s="84"/>
    </row>
    <row r="21" spans="2:15" s="67" customFormat="1" ht="47.25" customHeight="1">
      <c r="B21" s="222" t="s">
        <v>131</v>
      </c>
      <c r="C21" s="222"/>
      <c r="D21" s="222"/>
      <c r="E21" s="222"/>
      <c r="F21" s="92"/>
      <c r="G21" s="92"/>
      <c r="H21" s="92"/>
      <c r="I21" s="92"/>
      <c r="J21" s="92"/>
      <c r="K21" s="92"/>
      <c r="L21" s="92"/>
      <c r="M21" s="83"/>
      <c r="N21" s="84"/>
      <c r="O21" s="84"/>
    </row>
    <row r="22" spans="2:15" s="67" customFormat="1" ht="16.5" customHeight="1">
      <c r="B22" s="93"/>
      <c r="C22" s="93"/>
      <c r="D22" s="93"/>
      <c r="E22" s="93"/>
      <c r="F22" s="92"/>
      <c r="G22" s="92"/>
      <c r="H22" s="92"/>
      <c r="I22" s="92"/>
      <c r="J22" s="92"/>
      <c r="K22" s="92"/>
      <c r="L22" s="92"/>
      <c r="M22" s="83"/>
      <c r="N22" s="84"/>
      <c r="O22" s="84"/>
    </row>
    <row r="23" spans="2:15" s="67" customFormat="1" ht="16.5" customHeight="1">
      <c r="B23" s="221" t="s">
        <v>132</v>
      </c>
      <c r="C23" s="221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/>
      <c r="O23" s="84"/>
    </row>
    <row r="24" spans="2:15" s="67" customFormat="1" ht="16.5" customHeight="1">
      <c r="B24" s="35" t="s">
        <v>128</v>
      </c>
      <c r="C24" s="87">
        <f>E19*L15</f>
        <v>1629.586</v>
      </c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/>
      <c r="O24" s="84"/>
    </row>
    <row r="25" spans="2:15" s="67" customFormat="1" ht="16.5" customHeight="1">
      <c r="B25" s="35" t="s">
        <v>130</v>
      </c>
      <c r="C25" s="87">
        <f>E20*('Base Guarapuava'!N17/12)</f>
        <v>217.977</v>
      </c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/>
      <c r="O25" s="84"/>
    </row>
    <row r="26" spans="2:15" s="67" customFormat="1" ht="16.5" customHeight="1">
      <c r="B26" s="94" t="s">
        <v>28</v>
      </c>
      <c r="C26" s="95">
        <f>C24+C25</f>
        <v>1847.5630000000001</v>
      </c>
      <c r="D26" s="83"/>
      <c r="E26" s="83"/>
      <c r="F26" s="83"/>
      <c r="G26" s="83"/>
      <c r="H26" s="83"/>
      <c r="I26" s="83"/>
      <c r="M26" s="83"/>
      <c r="N26" s="84"/>
      <c r="O26" s="84"/>
    </row>
    <row r="27" spans="2:15" s="67" customFormat="1" ht="16.5" customHeight="1">
      <c r="B27" s="83"/>
      <c r="C27" s="96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/>
      <c r="O27" s="84"/>
    </row>
    <row r="28" spans="2:15" s="67" customFormat="1" ht="16.5" customHeight="1">
      <c r="B28" s="223" t="s">
        <v>133</v>
      </c>
      <c r="C28" s="223"/>
      <c r="D28" s="83"/>
      <c r="J28" s="83"/>
      <c r="K28" s="83"/>
      <c r="L28" s="83"/>
      <c r="M28" s="83"/>
      <c r="N28" s="84"/>
      <c r="O28" s="84"/>
    </row>
    <row r="29" spans="2:15" s="67" customFormat="1" ht="16.5" customHeight="1">
      <c r="B29" s="97" t="s">
        <v>125</v>
      </c>
      <c r="C29" s="98">
        <f>SUM(M5:M14)</f>
        <v>78</v>
      </c>
      <c r="J29" s="83"/>
      <c r="K29" s="83"/>
      <c r="L29" s="83"/>
      <c r="M29" s="83"/>
      <c r="N29" s="84"/>
      <c r="O29" s="84"/>
    </row>
    <row r="30" spans="2:15" s="67" customFormat="1" ht="16.5" customHeight="1">
      <c r="B30" s="83"/>
      <c r="C30" s="99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/>
      <c r="O30" s="84"/>
    </row>
    <row r="31" spans="2:15" s="67" customFormat="1" ht="12.75">
      <c r="B31" s="217" t="s">
        <v>67</v>
      </c>
      <c r="C31" s="217"/>
      <c r="D31" s="217"/>
      <c r="E31" s="217"/>
      <c r="N31" s="68"/>
      <c r="O31" s="68"/>
    </row>
    <row r="32" spans="2:15" s="67" customFormat="1" ht="12.75">
      <c r="B32" s="100" t="s">
        <v>134</v>
      </c>
      <c r="C32" s="100" t="s">
        <v>123</v>
      </c>
      <c r="D32" s="100" t="s">
        <v>124</v>
      </c>
      <c r="E32" s="100" t="s">
        <v>125</v>
      </c>
      <c r="N32" s="68"/>
      <c r="O32" s="68"/>
    </row>
    <row r="33" spans="2:15" s="67" customFormat="1" ht="25.5">
      <c r="B33" s="89" t="s">
        <v>135</v>
      </c>
      <c r="C33" s="101" t="s">
        <v>136</v>
      </c>
      <c r="D33" s="89" t="s">
        <v>137</v>
      </c>
      <c r="E33" s="91">
        <v>139.4</v>
      </c>
      <c r="N33" s="68"/>
      <c r="O33" s="68"/>
    </row>
    <row r="34" spans="2:15" s="67" customFormat="1" ht="12.75">
      <c r="B34" s="218" t="s">
        <v>138</v>
      </c>
      <c r="C34" s="218"/>
      <c r="D34" s="218"/>
      <c r="E34" s="218"/>
      <c r="N34" s="68"/>
      <c r="O34" s="68"/>
    </row>
  </sheetData>
  <mergeCells count="57">
    <mergeCell ref="B10:B11"/>
    <mergeCell ref="B2:S2"/>
    <mergeCell ref="B34:E34"/>
    <mergeCell ref="B15:F15"/>
    <mergeCell ref="H15:J15"/>
    <mergeCell ref="B17:E17"/>
    <mergeCell ref="B21:E21"/>
    <mergeCell ref="B23:C23"/>
    <mergeCell ref="B28:C28"/>
    <mergeCell ref="B31:E31"/>
    <mergeCell ref="J6:J7"/>
    <mergeCell ref="K6:K7"/>
    <mergeCell ref="L6:L7"/>
    <mergeCell ref="B6:B7"/>
    <mergeCell ref="D6:D7"/>
    <mergeCell ref="E6:E7"/>
    <mergeCell ref="N6:N7"/>
    <mergeCell ref="B8:B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H6:H7"/>
    <mergeCell ref="I6:I7"/>
    <mergeCell ref="F6:F7"/>
    <mergeCell ref="L10:L11"/>
    <mergeCell ref="M10:M11"/>
    <mergeCell ref="D10:D11"/>
    <mergeCell ref="E10:E11"/>
    <mergeCell ref="F10:F11"/>
    <mergeCell ref="G10:G11"/>
    <mergeCell ref="H10:H11"/>
    <mergeCell ref="J10:J11"/>
    <mergeCell ref="K10:K11"/>
    <mergeCell ref="G6:G7"/>
    <mergeCell ref="M6:M7"/>
    <mergeCell ref="N10:N11"/>
    <mergeCell ref="B12:B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I10:I11"/>
  </mergeCells>
  <printOptions horizontalCentered="1" verticalCentered="1"/>
  <pageMargins left="0.78749999999999998" right="0.78749999999999998" top="0.196527777777778" bottom="0.196527777777778" header="0.511811023622047" footer="0.511811023622047"/>
  <pageSetup paperSize="9" pageOrder="overThenDown" orientation="portrait" useFirstPageNumber="1" horizontalDpi="300" verticalDpi="300"/>
  <ignoredErrors>
    <ignoredError sqref="K5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79998168889431442"/>
  </sheetPr>
  <dimension ref="B1:I32"/>
  <sheetViews>
    <sheetView showGridLines="0" zoomScaleNormal="100" workbookViewId="0">
      <selection activeCell="L12" sqref="L12"/>
    </sheetView>
  </sheetViews>
  <sheetFormatPr defaultColWidth="8.625" defaultRowHeight="14.25"/>
  <cols>
    <col min="1" max="1" width="5.625" customWidth="1"/>
    <col min="2" max="2" width="3" customWidth="1"/>
    <col min="3" max="3" width="12.25" customWidth="1"/>
    <col min="4" max="4" width="60" customWidth="1"/>
    <col min="5" max="5" width="30" customWidth="1"/>
    <col min="6" max="6" width="10" customWidth="1"/>
    <col min="7" max="7" width="13.75" customWidth="1"/>
    <col min="8" max="8" width="12" customWidth="1"/>
    <col min="9" max="9" width="14" customWidth="1"/>
  </cols>
  <sheetData>
    <row r="1" spans="2:9" ht="15" customHeight="1"/>
    <row r="2" spans="2:9" ht="24.75" customHeight="1">
      <c r="B2" s="232" t="s">
        <v>149</v>
      </c>
      <c r="C2" s="232"/>
      <c r="D2" s="232"/>
      <c r="E2" s="232"/>
      <c r="F2" s="232"/>
      <c r="G2" s="232"/>
      <c r="H2" s="232"/>
      <c r="I2" s="232"/>
    </row>
    <row r="3" spans="2:9" ht="21" customHeight="1"/>
    <row r="4" spans="2:9" ht="16.5" customHeight="1">
      <c r="B4" s="234" t="s">
        <v>150</v>
      </c>
      <c r="C4" s="234"/>
      <c r="D4" s="234"/>
      <c r="E4" s="234"/>
      <c r="F4" s="234"/>
      <c r="G4" s="234"/>
      <c r="H4" s="234"/>
      <c r="I4" s="234"/>
    </row>
    <row r="5" spans="2:9" ht="16.5" customHeight="1">
      <c r="B5" s="226" t="s">
        <v>151</v>
      </c>
      <c r="C5" s="226"/>
      <c r="D5" s="228" t="s">
        <v>152</v>
      </c>
      <c r="E5" s="228"/>
      <c r="F5" s="228"/>
      <c r="G5" s="228"/>
      <c r="H5" s="228"/>
      <c r="I5" s="228"/>
    </row>
    <row r="6" spans="2:9" ht="16.5" customHeight="1">
      <c r="B6" s="226" t="s">
        <v>123</v>
      </c>
      <c r="C6" s="226"/>
      <c r="D6" s="228" t="s">
        <v>153</v>
      </c>
      <c r="E6" s="228"/>
      <c r="F6" s="228"/>
      <c r="G6" s="228"/>
      <c r="H6" s="228"/>
      <c r="I6" s="228"/>
    </row>
    <row r="7" spans="2:9" ht="16.5" customHeight="1">
      <c r="B7" s="226" t="s">
        <v>154</v>
      </c>
      <c r="C7" s="226"/>
      <c r="D7" s="233" t="s">
        <v>155</v>
      </c>
      <c r="E7" s="233"/>
      <c r="F7" s="233"/>
      <c r="G7" s="233"/>
      <c r="H7" s="233"/>
      <c r="I7" s="233"/>
    </row>
    <row r="8" spans="2:9" ht="16.5" customHeight="1">
      <c r="B8" s="226" t="s">
        <v>156</v>
      </c>
      <c r="C8" s="226"/>
      <c r="D8" s="228" t="s">
        <v>157</v>
      </c>
      <c r="E8" s="228"/>
      <c r="F8" s="228"/>
      <c r="G8" s="228"/>
      <c r="H8" s="228"/>
      <c r="I8" s="228"/>
    </row>
    <row r="9" spans="2:9" ht="16.5" customHeight="1">
      <c r="B9" s="226" t="s">
        <v>158</v>
      </c>
      <c r="C9" s="226"/>
      <c r="D9" s="229" t="s">
        <v>159</v>
      </c>
      <c r="E9" s="229"/>
      <c r="F9" s="229"/>
      <c r="G9" s="229"/>
      <c r="H9" s="229"/>
      <c r="I9" s="229"/>
    </row>
    <row r="10" spans="2:9" ht="16.5" customHeight="1">
      <c r="B10" s="226" t="s">
        <v>124</v>
      </c>
      <c r="C10" s="226"/>
      <c r="D10" s="228" t="s">
        <v>128</v>
      </c>
      <c r="E10" s="228"/>
      <c r="F10" s="228"/>
      <c r="G10" s="228"/>
      <c r="H10" s="228"/>
      <c r="I10" s="228"/>
    </row>
    <row r="11" spans="2:9" ht="16.5" customHeight="1">
      <c r="B11" s="226" t="s">
        <v>125</v>
      </c>
      <c r="C11" s="226"/>
      <c r="D11" s="231">
        <f>SUM(I14:I18)</f>
        <v>56.78</v>
      </c>
      <c r="E11" s="231"/>
      <c r="F11" s="231"/>
      <c r="G11" s="231"/>
      <c r="H11" s="231"/>
      <c r="I11" s="231"/>
    </row>
    <row r="12" spans="2:9" ht="15.75" customHeight="1">
      <c r="B12" s="102"/>
      <c r="C12" s="102"/>
      <c r="D12" s="103"/>
      <c r="E12" s="103"/>
      <c r="F12" s="103"/>
      <c r="G12" s="103"/>
      <c r="H12" s="103"/>
      <c r="I12" s="103"/>
    </row>
    <row r="13" spans="2:9" ht="29.25" customHeight="1">
      <c r="B13" s="104"/>
      <c r="C13" s="104" t="s">
        <v>160</v>
      </c>
      <c r="D13" s="104" t="s">
        <v>123</v>
      </c>
      <c r="E13" s="104" t="s">
        <v>158</v>
      </c>
      <c r="F13" s="104" t="s">
        <v>124</v>
      </c>
      <c r="G13" s="104" t="s">
        <v>161</v>
      </c>
      <c r="H13" s="104" t="s">
        <v>162</v>
      </c>
      <c r="I13" s="104" t="s">
        <v>125</v>
      </c>
    </row>
    <row r="14" spans="2:9" ht="38.25">
      <c r="B14" s="105" t="s">
        <v>163</v>
      </c>
      <c r="C14" s="105" t="s">
        <v>164</v>
      </c>
      <c r="D14" s="106" t="s">
        <v>165</v>
      </c>
      <c r="E14" s="106" t="s">
        <v>166</v>
      </c>
      <c r="F14" s="105" t="s">
        <v>167</v>
      </c>
      <c r="G14" s="171">
        <v>4.7300000000000004</v>
      </c>
      <c r="H14" s="107">
        <v>1</v>
      </c>
      <c r="I14" s="169">
        <f>G14*H14</f>
        <v>4.7300000000000004</v>
      </c>
    </row>
    <row r="15" spans="2:9" ht="38.25">
      <c r="B15" s="105" t="s">
        <v>163</v>
      </c>
      <c r="C15" s="105" t="s">
        <v>168</v>
      </c>
      <c r="D15" s="106" t="s">
        <v>169</v>
      </c>
      <c r="E15" s="106" t="s">
        <v>166</v>
      </c>
      <c r="F15" s="105" t="s">
        <v>167</v>
      </c>
      <c r="G15" s="171">
        <v>1.46</v>
      </c>
      <c r="H15" s="107">
        <v>1</v>
      </c>
      <c r="I15" s="169">
        <f>G15*H15</f>
        <v>1.46</v>
      </c>
    </row>
    <row r="16" spans="2:9" ht="38.25">
      <c r="B16" s="105" t="s">
        <v>163</v>
      </c>
      <c r="C16" s="105" t="s">
        <v>170</v>
      </c>
      <c r="D16" s="106" t="s">
        <v>171</v>
      </c>
      <c r="E16" s="106" t="s">
        <v>166</v>
      </c>
      <c r="F16" s="105" t="s">
        <v>167</v>
      </c>
      <c r="G16" s="171">
        <v>0.59</v>
      </c>
      <c r="H16" s="107">
        <v>1</v>
      </c>
      <c r="I16" s="169">
        <f>G16*H16</f>
        <v>0.59</v>
      </c>
    </row>
    <row r="17" spans="2:9" ht="38.25">
      <c r="B17" s="105" t="s">
        <v>163</v>
      </c>
      <c r="C17" s="105" t="s">
        <v>172</v>
      </c>
      <c r="D17" s="106" t="s">
        <v>173</v>
      </c>
      <c r="E17" s="106" t="s">
        <v>166</v>
      </c>
      <c r="F17" s="105" t="s">
        <v>167</v>
      </c>
      <c r="G17" s="171">
        <v>5.92</v>
      </c>
      <c r="H17" s="107">
        <v>1</v>
      </c>
      <c r="I17" s="169">
        <f>G17*H17</f>
        <v>5.92</v>
      </c>
    </row>
    <row r="18" spans="2:9" ht="38.25">
      <c r="B18" s="105" t="s">
        <v>163</v>
      </c>
      <c r="C18" s="105" t="s">
        <v>174</v>
      </c>
      <c r="D18" s="106" t="s">
        <v>175</v>
      </c>
      <c r="E18" s="106" t="s">
        <v>166</v>
      </c>
      <c r="F18" s="105" t="s">
        <v>167</v>
      </c>
      <c r="G18" s="171">
        <v>44.08</v>
      </c>
      <c r="H18" s="107">
        <v>1</v>
      </c>
      <c r="I18" s="169">
        <f>G18*H18</f>
        <v>44.08</v>
      </c>
    </row>
    <row r="19" spans="2:9" ht="27.75" customHeight="1"/>
    <row r="20" spans="2:9" ht="16.5" customHeight="1">
      <c r="B20" s="232" t="s">
        <v>176</v>
      </c>
      <c r="C20" s="232"/>
      <c r="D20" s="232"/>
      <c r="E20" s="232"/>
      <c r="F20" s="232"/>
      <c r="G20" s="232"/>
      <c r="H20" s="232"/>
      <c r="I20" s="232"/>
    </row>
    <row r="21" spans="2:9" ht="16.5" customHeight="1">
      <c r="B21" s="226" t="s">
        <v>151</v>
      </c>
      <c r="C21" s="226"/>
      <c r="D21" s="228" t="s">
        <v>177</v>
      </c>
      <c r="E21" s="228"/>
      <c r="F21" s="228"/>
      <c r="G21" s="228"/>
      <c r="H21" s="228"/>
      <c r="I21" s="228"/>
    </row>
    <row r="22" spans="2:9" ht="16.5" customHeight="1">
      <c r="B22" s="226" t="s">
        <v>123</v>
      </c>
      <c r="C22" s="226"/>
      <c r="D22" s="228" t="s">
        <v>178</v>
      </c>
      <c r="E22" s="228"/>
      <c r="F22" s="228"/>
      <c r="G22" s="228"/>
      <c r="H22" s="228"/>
      <c r="I22" s="228"/>
    </row>
    <row r="23" spans="2:9" ht="16.5" customHeight="1">
      <c r="B23" s="226" t="s">
        <v>154</v>
      </c>
      <c r="C23" s="226"/>
      <c r="D23" s="230" t="str">
        <f>D7</f>
        <v>05/2025</v>
      </c>
      <c r="E23" s="230"/>
      <c r="F23" s="230"/>
      <c r="G23" s="230"/>
      <c r="H23" s="230"/>
      <c r="I23" s="230"/>
    </row>
    <row r="24" spans="2:9" ht="16.5" customHeight="1">
      <c r="B24" s="226" t="s">
        <v>156</v>
      </c>
      <c r="C24" s="226"/>
      <c r="D24" s="228" t="str">
        <f>D8</f>
        <v>PARANÁ</v>
      </c>
      <c r="E24" s="228"/>
      <c r="F24" s="228"/>
      <c r="G24" s="228"/>
      <c r="H24" s="228"/>
      <c r="I24" s="228"/>
    </row>
    <row r="25" spans="2:9" ht="16.5" customHeight="1">
      <c r="B25" s="226" t="s">
        <v>158</v>
      </c>
      <c r="C25" s="226"/>
      <c r="D25" s="229" t="s">
        <v>159</v>
      </c>
      <c r="E25" s="229"/>
      <c r="F25" s="229"/>
      <c r="G25" s="229"/>
      <c r="H25" s="229"/>
      <c r="I25" s="229"/>
    </row>
    <row r="26" spans="2:9" ht="16.5" customHeight="1">
      <c r="B26" s="226" t="s">
        <v>124</v>
      </c>
      <c r="C26" s="226"/>
      <c r="D26" s="228" t="s">
        <v>130</v>
      </c>
      <c r="E26" s="228"/>
      <c r="F26" s="228"/>
      <c r="G26" s="228"/>
      <c r="H26" s="228"/>
      <c r="I26" s="228"/>
    </row>
    <row r="27" spans="2:9" ht="16.5" customHeight="1">
      <c r="B27" s="226" t="s">
        <v>125</v>
      </c>
      <c r="C27" s="226"/>
      <c r="D27" s="227">
        <f>SUM(I30:I32)</f>
        <v>6.78</v>
      </c>
      <c r="E27" s="227"/>
      <c r="F27" s="227"/>
      <c r="G27" s="227"/>
      <c r="H27" s="227"/>
      <c r="I27" s="227"/>
    </row>
    <row r="28" spans="2:9" ht="15.75" customHeight="1">
      <c r="B28" s="102"/>
      <c r="C28" s="102"/>
      <c r="D28" s="103"/>
      <c r="E28" s="103"/>
      <c r="F28" s="103"/>
      <c r="G28" s="103"/>
      <c r="H28" s="103"/>
      <c r="I28" s="103"/>
    </row>
    <row r="29" spans="2:9" ht="29.25" customHeight="1">
      <c r="B29" s="104"/>
      <c r="C29" s="104" t="s">
        <v>160</v>
      </c>
      <c r="D29" s="104" t="s">
        <v>123</v>
      </c>
      <c r="E29" s="104" t="s">
        <v>158</v>
      </c>
      <c r="F29" s="104" t="s">
        <v>124</v>
      </c>
      <c r="G29" s="104" t="s">
        <v>161</v>
      </c>
      <c r="H29" s="104" t="s">
        <v>162</v>
      </c>
      <c r="I29" s="104" t="s">
        <v>125</v>
      </c>
    </row>
    <row r="30" spans="2:9" ht="38.25">
      <c r="B30" s="105" t="s">
        <v>163</v>
      </c>
      <c r="C30" s="105" t="s">
        <v>164</v>
      </c>
      <c r="D30" s="106" t="s">
        <v>165</v>
      </c>
      <c r="E30" s="106" t="s">
        <v>166</v>
      </c>
      <c r="F30" s="105" t="s">
        <v>167</v>
      </c>
      <c r="G30" s="171">
        <f>G14</f>
        <v>4.7300000000000004</v>
      </c>
      <c r="H30" s="107">
        <v>1</v>
      </c>
      <c r="I30" s="169">
        <f>G30*H30</f>
        <v>4.7300000000000004</v>
      </c>
    </row>
    <row r="31" spans="2:9" ht="38.25">
      <c r="B31" s="105" t="s">
        <v>163</v>
      </c>
      <c r="C31" s="105" t="s">
        <v>168</v>
      </c>
      <c r="D31" s="106" t="s">
        <v>169</v>
      </c>
      <c r="E31" s="106" t="s">
        <v>166</v>
      </c>
      <c r="F31" s="105" t="s">
        <v>167</v>
      </c>
      <c r="G31" s="171">
        <f>G15</f>
        <v>1.46</v>
      </c>
      <c r="H31" s="107">
        <v>1</v>
      </c>
      <c r="I31" s="169">
        <f>G31*H31</f>
        <v>1.46</v>
      </c>
    </row>
    <row r="32" spans="2:9" ht="38.25">
      <c r="B32" s="105" t="s">
        <v>163</v>
      </c>
      <c r="C32" s="105" t="s">
        <v>170</v>
      </c>
      <c r="D32" s="106" t="s">
        <v>171</v>
      </c>
      <c r="E32" s="106" t="s">
        <v>166</v>
      </c>
      <c r="F32" s="105" t="s">
        <v>167</v>
      </c>
      <c r="G32" s="171">
        <f>G16</f>
        <v>0.59</v>
      </c>
      <c r="H32" s="107">
        <v>1</v>
      </c>
      <c r="I32" s="169">
        <f>G32*H32</f>
        <v>0.59</v>
      </c>
    </row>
  </sheetData>
  <mergeCells count="31">
    <mergeCell ref="B2:I2"/>
    <mergeCell ref="B4:I4"/>
    <mergeCell ref="B5:C5"/>
    <mergeCell ref="D5:I5"/>
    <mergeCell ref="B6:C6"/>
    <mergeCell ref="D6:I6"/>
    <mergeCell ref="B7:C7"/>
    <mergeCell ref="D7:I7"/>
    <mergeCell ref="B8:C8"/>
    <mergeCell ref="D8:I8"/>
    <mergeCell ref="B9:C9"/>
    <mergeCell ref="D9:I9"/>
    <mergeCell ref="B10:C10"/>
    <mergeCell ref="D10:I10"/>
    <mergeCell ref="B11:C11"/>
    <mergeCell ref="D11:I11"/>
    <mergeCell ref="B20:I20"/>
    <mergeCell ref="B21:C21"/>
    <mergeCell ref="D21:I21"/>
    <mergeCell ref="B22:C22"/>
    <mergeCell ref="D22:I22"/>
    <mergeCell ref="B23:C23"/>
    <mergeCell ref="D23:I23"/>
    <mergeCell ref="B27:C27"/>
    <mergeCell ref="D27:I27"/>
    <mergeCell ref="B24:C24"/>
    <mergeCell ref="D24:I24"/>
    <mergeCell ref="B25:C25"/>
    <mergeCell ref="D25:I25"/>
    <mergeCell ref="B26:C26"/>
    <mergeCell ref="D26:I26"/>
  </mergeCells>
  <printOptions horizontalCentered="1"/>
  <pageMargins left="0.17708333333333301" right="0.134027777777778" top="0.374305555555556" bottom="0.32013888888888897" header="0.511811023622047" footer="0.511811023622047"/>
  <pageSetup paperSize="9" orientation="portrait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79998168889431442"/>
  </sheetPr>
  <dimension ref="A1:C16"/>
  <sheetViews>
    <sheetView zoomScale="110" zoomScaleNormal="110" workbookViewId="0">
      <selection activeCell="G16" sqref="G16"/>
    </sheetView>
  </sheetViews>
  <sheetFormatPr defaultColWidth="8.5" defaultRowHeight="14.25"/>
  <cols>
    <col min="2" max="2" width="31.125" customWidth="1"/>
    <col min="3" max="3" width="25.375" customWidth="1"/>
  </cols>
  <sheetData>
    <row r="1" spans="1:3">
      <c r="A1" s="108"/>
    </row>
    <row r="2" spans="1:3" ht="14.25" customHeight="1">
      <c r="A2" s="108"/>
      <c r="B2" s="109"/>
      <c r="C2" s="110" t="s">
        <v>157</v>
      </c>
    </row>
    <row r="3" spans="1:3" ht="14.25" customHeight="1">
      <c r="A3" s="108"/>
      <c r="B3" s="111" t="s">
        <v>179</v>
      </c>
      <c r="C3" s="110" t="s">
        <v>180</v>
      </c>
    </row>
    <row r="4" spans="1:3" ht="14.25" customHeight="1">
      <c r="A4" s="108"/>
      <c r="B4" s="111" t="s">
        <v>181</v>
      </c>
      <c r="C4" s="112" t="s">
        <v>182</v>
      </c>
    </row>
    <row r="5" spans="1:3" ht="14.25" customHeight="1">
      <c r="A5" s="108"/>
      <c r="B5" s="111" t="s">
        <v>183</v>
      </c>
      <c r="C5" s="187">
        <v>45778</v>
      </c>
    </row>
    <row r="6" spans="1:3" ht="14.25" customHeight="1">
      <c r="A6" s="108"/>
      <c r="B6" s="111" t="s">
        <v>184</v>
      </c>
      <c r="C6" s="113">
        <v>62.21</v>
      </c>
    </row>
    <row r="7" spans="1:3" ht="14.25" customHeight="1">
      <c r="A7" s="108"/>
      <c r="B7" s="114"/>
      <c r="C7" s="115"/>
    </row>
    <row r="8" spans="1:3" ht="29.25" customHeight="1">
      <c r="A8" s="108"/>
      <c r="B8" s="116" t="s">
        <v>185</v>
      </c>
      <c r="C8" s="117" t="s">
        <v>186</v>
      </c>
    </row>
    <row r="9" spans="1:3" ht="14.25" customHeight="1">
      <c r="A9" s="108"/>
      <c r="B9" s="111" t="s">
        <v>187</v>
      </c>
      <c r="C9" s="118">
        <v>0.9345</v>
      </c>
    </row>
    <row r="10" spans="1:3" ht="14.25" customHeight="1">
      <c r="A10" s="108"/>
      <c r="B10" s="111" t="s">
        <v>188</v>
      </c>
      <c r="C10" s="118">
        <v>1.1637</v>
      </c>
    </row>
    <row r="11" spans="1:3" ht="14.25" customHeight="1">
      <c r="A11" s="108"/>
      <c r="B11" s="114"/>
      <c r="C11" s="114"/>
    </row>
    <row r="12" spans="1:3" ht="14.25" customHeight="1">
      <c r="A12" s="108"/>
      <c r="B12" s="119" t="s">
        <v>189</v>
      </c>
      <c r="C12" s="120"/>
    </row>
    <row r="13" spans="1:3" ht="14.25" customHeight="1">
      <c r="A13" s="108"/>
      <c r="B13" s="111" t="s">
        <v>190</v>
      </c>
      <c r="C13" s="121">
        <f>C6*(1+C9)</f>
        <v>120.34524499999999</v>
      </c>
    </row>
    <row r="14" spans="1:3" ht="15" customHeight="1">
      <c r="A14" s="108"/>
      <c r="B14" s="111" t="s">
        <v>191</v>
      </c>
      <c r="C14" s="121">
        <f>C6*(1+C10)</f>
        <v>134.60377700000001</v>
      </c>
    </row>
    <row r="15" spans="1:3">
      <c r="A15" s="108"/>
      <c r="B15" s="109"/>
      <c r="C15" s="109"/>
    </row>
    <row r="16" spans="1:3" ht="66" customHeight="1">
      <c r="A16" s="108"/>
      <c r="B16" s="235" t="s">
        <v>192</v>
      </c>
      <c r="C16" s="236"/>
    </row>
  </sheetData>
  <mergeCells count="1">
    <mergeCell ref="B16:C16"/>
  </mergeCells>
  <pageMargins left="0.51180555555555596" right="0.51180555555555596" top="0.78749999999999998" bottom="0.78749999999999998" header="0.511811023622047" footer="0.511811023622047"/>
  <pageSetup paperSize="9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E548FB-55E4-466B-B164-319F7B705444}"/>
</file>

<file path=customXml/itemProps2.xml><?xml version="1.0" encoding="utf-8"?>
<ds:datastoreItem xmlns:ds="http://schemas.openxmlformats.org/officeDocument/2006/customXml" ds:itemID="{E42154C8-3B3B-459E-8C7C-6472B5CF10E2}"/>
</file>

<file path=customXml/itemProps3.xml><?xml version="1.0" encoding="utf-8"?>
<ds:datastoreItem xmlns:ds="http://schemas.openxmlformats.org/officeDocument/2006/customXml" ds:itemID="{AA4B500F-0C7B-4823-8A07-3573EDAA33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Ana Carolina Alves Miranda</dc:creator>
  <cp:keywords/>
  <dc:description/>
  <cp:lastModifiedBy>BRUNO COSSO FERNANDES</cp:lastModifiedBy>
  <cp:revision>39</cp:revision>
  <dcterms:created xsi:type="dcterms:W3CDTF">2022-02-01T12:05:24Z</dcterms:created>
  <dcterms:modified xsi:type="dcterms:W3CDTF">2025-06-23T18:15:23Z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